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400661\Downloads\"/>
    </mc:Choice>
  </mc:AlternateContent>
  <xr:revisionPtr revIDLastSave="0" documentId="13_ncr:1_{F56C9236-79D1-4AAA-8704-2C193BC9A08D}" xr6:coauthVersionLast="47" xr6:coauthVersionMax="47" xr10:uidLastSave="{00000000-0000-0000-0000-000000000000}"/>
  <bookViews>
    <workbookView xWindow="-108" yWindow="-108" windowWidth="23256" windowHeight="13176" tabRatio="925" activeTab="20" xr2:uid="{00000000-000D-0000-FFFF-FFFF00000000}"/>
  </bookViews>
  <sheets>
    <sheet name="Budget Launch Page" sheetId="64" r:id="rId1"/>
    <sheet name="Beginning Balance Sheet" sheetId="58" r:id="rId2"/>
    <sheet name="M-Budgeting Assumptions" sheetId="55" r:id="rId3"/>
    <sheet name="F-Budgeting Assumptions" sheetId="65" r:id="rId4"/>
    <sheet name="M-Sales Budget" sheetId="45" r:id="rId5"/>
    <sheet name="F-Sales Budget" sheetId="66" r:id="rId6"/>
    <sheet name="M-Merchandise Purchases Budget" sheetId="46" r:id="rId7"/>
    <sheet name="F-Merchandise Purchases Budget" sheetId="67" r:id="rId8"/>
    <sheet name="M-Selling &amp; Admin Budget" sheetId="51" r:id="rId9"/>
    <sheet name="F-Selling &amp; Admin Budget" sheetId="68" r:id="rId10"/>
    <sheet name="M-Cash Budget" sheetId="52" r:id="rId11"/>
    <sheet name="F-Cash Budget" sheetId="69" r:id="rId12"/>
    <sheet name="Actual Cash Flows" sheetId="78" r:id="rId13"/>
    <sheet name="M-Budgeted Income Statements" sheetId="53" r:id="rId14"/>
    <sheet name="F-Budgeted Income Statements" sheetId="70" r:id="rId15"/>
    <sheet name="Actual Income Statements" sheetId="79" r:id="rId16"/>
    <sheet name="M-Budgeted Balance Sheets" sheetId="54" r:id="rId17"/>
    <sheet name="F-Budgeted Balance Sheets" sheetId="71" r:id="rId18"/>
    <sheet name="Actual Balance Sheets" sheetId="80" r:id="rId19"/>
    <sheet name="Sheet2" sheetId="84" r:id="rId20"/>
    <sheet name="Income Statement Charts" sheetId="63" r:id="rId21"/>
    <sheet name="Sheet1" sheetId="83" r:id="rId22"/>
    <sheet name="Other Charts" sheetId="81" r:id="rId23"/>
    <sheet name="Charts Tutorial" sheetId="82" r:id="rId24"/>
  </sheets>
  <externalReferences>
    <externalReference r:id="rId25"/>
  </externalReferences>
  <calcPr calcId="191029"/>
</workbook>
</file>

<file path=xl/calcChain.xml><?xml version="1.0" encoding="utf-8"?>
<calcChain xmlns="http://schemas.openxmlformats.org/spreadsheetml/2006/main">
  <c r="C6" i="66" l="1"/>
  <c r="M6" i="63" l="1"/>
  <c r="L6" i="63"/>
  <c r="K6" i="63"/>
  <c r="J6" i="63"/>
  <c r="I6" i="63"/>
  <c r="H6" i="63"/>
  <c r="G6" i="63"/>
  <c r="F6" i="63"/>
  <c r="E6" i="63"/>
  <c r="D6" i="63"/>
  <c r="C6" i="63"/>
  <c r="B6" i="63"/>
  <c r="M5" i="63"/>
  <c r="L5" i="63"/>
  <c r="K5" i="63"/>
  <c r="J5" i="63"/>
  <c r="I5" i="63"/>
  <c r="H5" i="63"/>
  <c r="G5" i="63"/>
  <c r="F5" i="63"/>
  <c r="E5" i="63"/>
  <c r="D5" i="63"/>
  <c r="C5" i="63"/>
  <c r="B5" i="63"/>
  <c r="M3" i="63" l="1"/>
  <c r="L3" i="63"/>
  <c r="K3" i="63"/>
  <c r="J3" i="63"/>
  <c r="I3" i="63"/>
  <c r="H3" i="63"/>
  <c r="G3" i="63"/>
  <c r="F3" i="63"/>
  <c r="E3" i="63"/>
  <c r="D3" i="63"/>
  <c r="C3" i="63"/>
  <c r="B3" i="63"/>
  <c r="B26" i="80" l="1"/>
  <c r="C26" i="80" s="1"/>
  <c r="D26" i="80" s="1"/>
  <c r="E26" i="80" s="1"/>
  <c r="F26" i="80" s="1"/>
  <c r="G26" i="80" s="1"/>
  <c r="H26" i="80" s="1"/>
  <c r="I26" i="80" s="1"/>
  <c r="J26" i="80" s="1"/>
  <c r="K26" i="80" s="1"/>
  <c r="L26" i="80" s="1"/>
  <c r="M26" i="80" s="1"/>
  <c r="M25" i="80"/>
  <c r="L25" i="80"/>
  <c r="K25" i="80"/>
  <c r="J25" i="80"/>
  <c r="I25" i="80"/>
  <c r="H25" i="80"/>
  <c r="G25" i="80"/>
  <c r="F25" i="80"/>
  <c r="E25" i="80"/>
  <c r="D25" i="80"/>
  <c r="C25" i="80"/>
  <c r="B25" i="80"/>
  <c r="M22" i="80"/>
  <c r="L22" i="80"/>
  <c r="K22" i="80"/>
  <c r="J22" i="80"/>
  <c r="I22" i="80"/>
  <c r="H22" i="80"/>
  <c r="G22" i="80"/>
  <c r="F22" i="80"/>
  <c r="E22" i="80"/>
  <c r="D22" i="80"/>
  <c r="C22" i="80"/>
  <c r="B22" i="80"/>
  <c r="M21" i="80"/>
  <c r="L21" i="80"/>
  <c r="K21" i="80"/>
  <c r="J21" i="80"/>
  <c r="I21" i="80"/>
  <c r="H21" i="80"/>
  <c r="G21" i="80"/>
  <c r="F21" i="80"/>
  <c r="E21" i="80"/>
  <c r="D21" i="80"/>
  <c r="C21" i="80"/>
  <c r="B21" i="80"/>
  <c r="M20" i="80"/>
  <c r="M23" i="80" s="1"/>
  <c r="L20" i="80"/>
  <c r="K20" i="80"/>
  <c r="J20" i="80"/>
  <c r="J23" i="80" s="1"/>
  <c r="I20" i="80"/>
  <c r="H20" i="80"/>
  <c r="G20" i="80"/>
  <c r="F20" i="80"/>
  <c r="E20" i="80"/>
  <c r="E23" i="80" s="1"/>
  <c r="D20" i="80"/>
  <c r="D23" i="80" s="1"/>
  <c r="C20" i="80"/>
  <c r="C23" i="80" s="1"/>
  <c r="B20" i="80"/>
  <c r="B23" i="80" s="1"/>
  <c r="B14" i="80"/>
  <c r="C14" i="80" s="1"/>
  <c r="D14" i="80" s="1"/>
  <c r="E14" i="80" s="1"/>
  <c r="F14" i="80" s="1"/>
  <c r="G14" i="80" s="1"/>
  <c r="H14" i="80" s="1"/>
  <c r="I14" i="80" s="1"/>
  <c r="J14" i="80" s="1"/>
  <c r="K14" i="80" s="1"/>
  <c r="L14" i="80" s="1"/>
  <c r="M14" i="80" s="1"/>
  <c r="M13" i="80"/>
  <c r="L13" i="80"/>
  <c r="K13" i="80"/>
  <c r="J13" i="80"/>
  <c r="I13" i="80"/>
  <c r="H13" i="80"/>
  <c r="G13" i="80"/>
  <c r="F13" i="80"/>
  <c r="E13" i="80"/>
  <c r="D13" i="80"/>
  <c r="C13" i="80"/>
  <c r="B13" i="80"/>
  <c r="B15" i="80" s="1"/>
  <c r="M10" i="80"/>
  <c r="L10" i="80"/>
  <c r="K10" i="80"/>
  <c r="J10" i="80"/>
  <c r="I10" i="80"/>
  <c r="H10" i="80"/>
  <c r="G10" i="80"/>
  <c r="F10" i="80"/>
  <c r="E10" i="80"/>
  <c r="D10" i="80"/>
  <c r="C10" i="80"/>
  <c r="B10" i="80"/>
  <c r="M9" i="80"/>
  <c r="L9" i="80"/>
  <c r="K9" i="80"/>
  <c r="J9" i="80"/>
  <c r="I9" i="80"/>
  <c r="H9" i="80"/>
  <c r="G9" i="80"/>
  <c r="F9" i="80"/>
  <c r="E9" i="80"/>
  <c r="D9" i="80"/>
  <c r="C9" i="80"/>
  <c r="B9" i="80"/>
  <c r="M8" i="80"/>
  <c r="M11" i="80" s="1"/>
  <c r="L8" i="80"/>
  <c r="L11" i="80" s="1"/>
  <c r="K8" i="80"/>
  <c r="K11" i="80" s="1"/>
  <c r="J8" i="80"/>
  <c r="I8" i="80"/>
  <c r="H8" i="80"/>
  <c r="G8" i="80"/>
  <c r="F8" i="80"/>
  <c r="E8" i="80"/>
  <c r="E11" i="80" s="1"/>
  <c r="D8" i="80"/>
  <c r="D11" i="80" s="1"/>
  <c r="C8" i="80"/>
  <c r="C11" i="80" s="1"/>
  <c r="B8" i="80"/>
  <c r="M12" i="79"/>
  <c r="L12" i="79"/>
  <c r="K12" i="79"/>
  <c r="J12" i="79"/>
  <c r="I12" i="79"/>
  <c r="H12" i="79"/>
  <c r="G12" i="79"/>
  <c r="F12" i="79"/>
  <c r="E12" i="79"/>
  <c r="D12" i="79"/>
  <c r="C12" i="79"/>
  <c r="B12" i="79"/>
  <c r="M10" i="79"/>
  <c r="M25" i="63" s="1"/>
  <c r="L10" i="79"/>
  <c r="L25" i="63" s="1"/>
  <c r="K10" i="79"/>
  <c r="K25" i="63" s="1"/>
  <c r="J10" i="79"/>
  <c r="J25" i="63" s="1"/>
  <c r="I10" i="79"/>
  <c r="I25" i="63" s="1"/>
  <c r="H10" i="79"/>
  <c r="H25" i="63" s="1"/>
  <c r="G10" i="79"/>
  <c r="G25" i="63" s="1"/>
  <c r="F10" i="79"/>
  <c r="F25" i="63" s="1"/>
  <c r="E10" i="79"/>
  <c r="E25" i="63" s="1"/>
  <c r="D10" i="79"/>
  <c r="D25" i="63" s="1"/>
  <c r="C10" i="79"/>
  <c r="C25" i="63" s="1"/>
  <c r="B10" i="79"/>
  <c r="B25" i="63" s="1"/>
  <c r="M7" i="79"/>
  <c r="M4" i="63" s="1"/>
  <c r="L7" i="79"/>
  <c r="K7" i="79"/>
  <c r="J7" i="79"/>
  <c r="J4" i="63" s="1"/>
  <c r="I7" i="79"/>
  <c r="I4" i="63" s="1"/>
  <c r="H7" i="79"/>
  <c r="H4" i="63" s="1"/>
  <c r="G7" i="79"/>
  <c r="F7" i="79"/>
  <c r="F4" i="63" s="1"/>
  <c r="E7" i="79"/>
  <c r="E4" i="63" s="1"/>
  <c r="D7" i="79"/>
  <c r="C7" i="79"/>
  <c r="B7" i="79"/>
  <c r="B4" i="63" s="1"/>
  <c r="M12" i="78"/>
  <c r="L12" i="78"/>
  <c r="K12" i="78"/>
  <c r="J12" i="78"/>
  <c r="I12" i="78"/>
  <c r="H12" i="78"/>
  <c r="G12" i="78"/>
  <c r="F12" i="78"/>
  <c r="E12" i="78"/>
  <c r="D12" i="78"/>
  <c r="C12" i="78"/>
  <c r="B12" i="78"/>
  <c r="M11" i="78"/>
  <c r="L11" i="78"/>
  <c r="K11" i="78"/>
  <c r="J11" i="78"/>
  <c r="I11" i="78"/>
  <c r="I13" i="78" s="1"/>
  <c r="H11" i="78"/>
  <c r="G11" i="78"/>
  <c r="F11" i="78"/>
  <c r="E11" i="78"/>
  <c r="D11" i="78"/>
  <c r="C11" i="78"/>
  <c r="B11" i="78"/>
  <c r="B13" i="78" s="1"/>
  <c r="M8" i="78"/>
  <c r="L8" i="78"/>
  <c r="K8" i="78"/>
  <c r="J8" i="78"/>
  <c r="I8" i="78"/>
  <c r="H8" i="78"/>
  <c r="G8" i="78"/>
  <c r="F8" i="78"/>
  <c r="E8" i="78"/>
  <c r="D8" i="78"/>
  <c r="C8" i="78"/>
  <c r="B8" i="78"/>
  <c r="B6" i="78"/>
  <c r="N6" i="78" s="1"/>
  <c r="K13" i="78" l="1"/>
  <c r="C13" i="78"/>
  <c r="J11" i="80"/>
  <c r="B11" i="80"/>
  <c r="B16" i="80" s="1"/>
  <c r="J13" i="78"/>
  <c r="N12" i="78"/>
  <c r="H15" i="81"/>
  <c r="H15" i="80"/>
  <c r="F11" i="80"/>
  <c r="J15" i="80"/>
  <c r="J16" i="80" s="1"/>
  <c r="E13" i="78"/>
  <c r="M13" i="78"/>
  <c r="G11" i="80"/>
  <c r="F23" i="80"/>
  <c r="H11" i="80"/>
  <c r="D15" i="81"/>
  <c r="L15" i="81"/>
  <c r="D15" i="80"/>
  <c r="D16" i="80" s="1"/>
  <c r="L15" i="80"/>
  <c r="L16" i="80" s="1"/>
  <c r="F15" i="80"/>
  <c r="B4" i="81"/>
  <c r="C4" i="81" s="1"/>
  <c r="F13" i="78"/>
  <c r="G13" i="78"/>
  <c r="H8" i="79"/>
  <c r="H9" i="79" s="1"/>
  <c r="H11" i="79" s="1"/>
  <c r="H13" i="79" s="1"/>
  <c r="I11" i="80"/>
  <c r="H23" i="80"/>
  <c r="I23" i="80"/>
  <c r="E15" i="80"/>
  <c r="E16" i="80" s="1"/>
  <c r="I15" i="81"/>
  <c r="N25" i="63"/>
  <c r="B15" i="81"/>
  <c r="F15" i="81"/>
  <c r="J15" i="81"/>
  <c r="E15" i="81"/>
  <c r="M15" i="81"/>
  <c r="C15" i="81"/>
  <c r="G15" i="81"/>
  <c r="K15" i="81"/>
  <c r="G23" i="80"/>
  <c r="K23" i="80"/>
  <c r="C8" i="79"/>
  <c r="C9" i="79" s="1"/>
  <c r="C4" i="63"/>
  <c r="G8" i="79"/>
  <c r="G9" i="79" s="1"/>
  <c r="G4" i="63"/>
  <c r="K8" i="79"/>
  <c r="K9" i="79" s="1"/>
  <c r="K4" i="63"/>
  <c r="D8" i="79"/>
  <c r="D9" i="79" s="1"/>
  <c r="D11" i="79" s="1"/>
  <c r="D13" i="79" s="1"/>
  <c r="D4" i="63"/>
  <c r="L8" i="79"/>
  <c r="L9" i="79" s="1"/>
  <c r="L11" i="79" s="1"/>
  <c r="L13" i="79" s="1"/>
  <c r="L4" i="63"/>
  <c r="L23" i="80"/>
  <c r="B27" i="80"/>
  <c r="B28" i="80" s="1"/>
  <c r="F27" i="80"/>
  <c r="C27" i="80"/>
  <c r="C28" i="80" s="1"/>
  <c r="G27" i="80"/>
  <c r="K27" i="80"/>
  <c r="D27" i="80"/>
  <c r="D28" i="80" s="1"/>
  <c r="J27" i="80"/>
  <c r="J28" i="80" s="1"/>
  <c r="E27" i="80"/>
  <c r="E28" i="80" s="1"/>
  <c r="I15" i="80"/>
  <c r="M15" i="80"/>
  <c r="M16" i="80" s="1"/>
  <c r="H27" i="80"/>
  <c r="L27" i="80"/>
  <c r="D13" i="78"/>
  <c r="D4" i="81" s="1"/>
  <c r="E4" i="81" s="1"/>
  <c r="F4" i="81" s="1"/>
  <c r="G4" i="81" s="1"/>
  <c r="H13" i="78"/>
  <c r="L13" i="78"/>
  <c r="N10" i="79"/>
  <c r="N12" i="79"/>
  <c r="I27" i="80"/>
  <c r="I28" i="80" s="1"/>
  <c r="M27" i="80"/>
  <c r="M28" i="80" s="1"/>
  <c r="N8" i="78"/>
  <c r="B9" i="78"/>
  <c r="B14" i="78" s="1"/>
  <c r="B16" i="78" s="1"/>
  <c r="C15" i="80"/>
  <c r="C16" i="80" s="1"/>
  <c r="G15" i="80"/>
  <c r="G16" i="80" s="1"/>
  <c r="K15" i="80"/>
  <c r="K16" i="80" s="1"/>
  <c r="N7" i="79"/>
  <c r="E8" i="79"/>
  <c r="E9" i="79" s="1"/>
  <c r="I8" i="79"/>
  <c r="I9" i="79" s="1"/>
  <c r="M8" i="79"/>
  <c r="M9" i="79" s="1"/>
  <c r="B8" i="79"/>
  <c r="F8" i="79"/>
  <c r="F9" i="79" s="1"/>
  <c r="J8" i="79"/>
  <c r="J9" i="79" s="1"/>
  <c r="N9" i="78"/>
  <c r="N11" i="78"/>
  <c r="F28" i="80" l="1"/>
  <c r="H28" i="80"/>
  <c r="N13" i="78"/>
  <c r="H4" i="81"/>
  <c r="I4" i="81" s="1"/>
  <c r="J4" i="81" s="1"/>
  <c r="K4" i="81" s="1"/>
  <c r="L4" i="81" s="1"/>
  <c r="K28" i="80"/>
  <c r="F16" i="80"/>
  <c r="H16" i="80"/>
  <c r="I16" i="80"/>
  <c r="D31" i="63"/>
  <c r="D33" i="63"/>
  <c r="L31" i="63"/>
  <c r="L33" i="63"/>
  <c r="H31" i="63"/>
  <c r="H33" i="63"/>
  <c r="G28" i="80"/>
  <c r="K11" i="79"/>
  <c r="K13" i="79" s="1"/>
  <c r="C11" i="79"/>
  <c r="C13" i="79" s="1"/>
  <c r="G11" i="79"/>
  <c r="G13" i="79" s="1"/>
  <c r="L28" i="80"/>
  <c r="J11" i="79"/>
  <c r="J13" i="79" s="1"/>
  <c r="E11" i="79"/>
  <c r="E13" i="79" s="1"/>
  <c r="F11" i="79"/>
  <c r="F13" i="79" s="1"/>
  <c r="I11" i="79"/>
  <c r="I13" i="79" s="1"/>
  <c r="M11" i="79"/>
  <c r="M13" i="79" s="1"/>
  <c r="N8" i="79"/>
  <c r="N9" i="79" s="1"/>
  <c r="B9" i="79"/>
  <c r="N14" i="78"/>
  <c r="B19" i="78"/>
  <c r="B20" i="78" s="1"/>
  <c r="C6" i="78" s="1"/>
  <c r="C9" i="78" s="1"/>
  <c r="C14" i="78" s="1"/>
  <c r="D6" i="66"/>
  <c r="D6" i="45"/>
  <c r="I33" i="63" l="1"/>
  <c r="I31" i="63"/>
  <c r="E31" i="63"/>
  <c r="E33" i="63"/>
  <c r="G33" i="63"/>
  <c r="G31" i="63"/>
  <c r="C33" i="63"/>
  <c r="C31" i="63"/>
  <c r="M31" i="63"/>
  <c r="M33" i="63"/>
  <c r="F33" i="63"/>
  <c r="F31" i="63"/>
  <c r="J31" i="63"/>
  <c r="J33" i="63"/>
  <c r="K33" i="63"/>
  <c r="K31" i="63"/>
  <c r="N11" i="79"/>
  <c r="N13" i="79" s="1"/>
  <c r="B11" i="79"/>
  <c r="B13" i="79" s="1"/>
  <c r="C16" i="78"/>
  <c r="M25" i="71"/>
  <c r="L25" i="71"/>
  <c r="K25" i="71"/>
  <c r="J25" i="71"/>
  <c r="I25" i="71"/>
  <c r="H25" i="71"/>
  <c r="G25" i="71"/>
  <c r="F25" i="71"/>
  <c r="E25" i="71"/>
  <c r="D25" i="71"/>
  <c r="C25" i="71"/>
  <c r="B25" i="71"/>
  <c r="B14" i="71"/>
  <c r="C14" i="71" s="1"/>
  <c r="D14" i="71" s="1"/>
  <c r="E14" i="71" s="1"/>
  <c r="F14" i="71" s="1"/>
  <c r="G14" i="71" s="1"/>
  <c r="H14" i="71" s="1"/>
  <c r="I14" i="71" s="1"/>
  <c r="J14" i="71" s="1"/>
  <c r="K14" i="71" s="1"/>
  <c r="L14" i="71" s="1"/>
  <c r="M14" i="71" s="1"/>
  <c r="M13" i="71"/>
  <c r="L13" i="71"/>
  <c r="K13" i="71"/>
  <c r="J13" i="71"/>
  <c r="I13" i="71"/>
  <c r="H13" i="71"/>
  <c r="G13" i="71"/>
  <c r="F13" i="71"/>
  <c r="E13" i="71"/>
  <c r="D13" i="71"/>
  <c r="C13" i="71"/>
  <c r="B13" i="71"/>
  <c r="B15" i="71" s="1"/>
  <c r="M10" i="71"/>
  <c r="B6" i="69"/>
  <c r="N6" i="69" s="1"/>
  <c r="M14" i="68"/>
  <c r="M17" i="68" s="1"/>
  <c r="L14" i="68"/>
  <c r="L17" i="68" s="1"/>
  <c r="K14" i="68"/>
  <c r="K17" i="68" s="1"/>
  <c r="J14" i="68"/>
  <c r="J17" i="68" s="1"/>
  <c r="I14" i="68"/>
  <c r="I17" i="68" s="1"/>
  <c r="H14" i="68"/>
  <c r="H17" i="68" s="1"/>
  <c r="G14" i="68"/>
  <c r="G17" i="68" s="1"/>
  <c r="F14" i="68"/>
  <c r="F17" i="68" s="1"/>
  <c r="E14" i="68"/>
  <c r="E17" i="68" s="1"/>
  <c r="D14" i="68"/>
  <c r="D17" i="68" s="1"/>
  <c r="C14" i="68"/>
  <c r="C17" i="68" s="1"/>
  <c r="B14" i="68"/>
  <c r="B17" i="68" s="1"/>
  <c r="M13" i="68"/>
  <c r="L13" i="68"/>
  <c r="K13" i="68"/>
  <c r="J13" i="68"/>
  <c r="I13" i="68"/>
  <c r="H13" i="68"/>
  <c r="G13" i="68"/>
  <c r="F13" i="68"/>
  <c r="E13" i="68"/>
  <c r="D13" i="68"/>
  <c r="C13" i="68"/>
  <c r="B13" i="68"/>
  <c r="M12" i="68"/>
  <c r="L12" i="68"/>
  <c r="K12" i="68"/>
  <c r="J12" i="68"/>
  <c r="I12" i="68"/>
  <c r="H12" i="68"/>
  <c r="G12" i="68"/>
  <c r="F12" i="68"/>
  <c r="E12" i="68"/>
  <c r="D12" i="68"/>
  <c r="C12" i="68"/>
  <c r="B12" i="68"/>
  <c r="M11" i="68"/>
  <c r="L11" i="68"/>
  <c r="K11" i="68"/>
  <c r="J11" i="68"/>
  <c r="I11" i="68"/>
  <c r="H11" i="68"/>
  <c r="G11" i="68"/>
  <c r="F11" i="68"/>
  <c r="E11" i="68"/>
  <c r="D11" i="68"/>
  <c r="C11" i="68"/>
  <c r="B11" i="68"/>
  <c r="M10" i="68"/>
  <c r="L10" i="68"/>
  <c r="K10" i="68"/>
  <c r="J10" i="68"/>
  <c r="I10" i="68"/>
  <c r="H10" i="68"/>
  <c r="H15" i="68" s="1"/>
  <c r="H22" i="63" s="1"/>
  <c r="G10" i="68"/>
  <c r="F10" i="68"/>
  <c r="E10" i="68"/>
  <c r="D10" i="68"/>
  <c r="C10" i="68"/>
  <c r="B10" i="68"/>
  <c r="M7" i="68"/>
  <c r="N7" i="68" s="1"/>
  <c r="L7" i="68"/>
  <c r="K7" i="68"/>
  <c r="J7" i="68"/>
  <c r="I7" i="68"/>
  <c r="H7" i="68"/>
  <c r="G7" i="68"/>
  <c r="F7" i="68"/>
  <c r="E7" i="68"/>
  <c r="D7" i="68"/>
  <c r="C7" i="68"/>
  <c r="B7" i="68"/>
  <c r="D6" i="68"/>
  <c r="B15" i="67"/>
  <c r="B9" i="67"/>
  <c r="N9" i="67" s="1"/>
  <c r="N7" i="67"/>
  <c r="B13" i="66"/>
  <c r="M7" i="66"/>
  <c r="L7" i="66"/>
  <c r="K7" i="66"/>
  <c r="J7" i="66"/>
  <c r="I7" i="66"/>
  <c r="H7" i="66"/>
  <c r="G7" i="66"/>
  <c r="F7" i="66"/>
  <c r="E7" i="66"/>
  <c r="D7" i="66"/>
  <c r="D8" i="66" s="1"/>
  <c r="C7" i="66"/>
  <c r="B7" i="66"/>
  <c r="M6" i="66"/>
  <c r="M6" i="68" s="1"/>
  <c r="L6" i="66"/>
  <c r="L6" i="68" s="1"/>
  <c r="K6" i="66"/>
  <c r="J6" i="66"/>
  <c r="I6" i="66"/>
  <c r="I6" i="68" s="1"/>
  <c r="I8" i="68" s="1"/>
  <c r="I21" i="63" s="1"/>
  <c r="H6" i="66"/>
  <c r="H6" i="68" s="1"/>
  <c r="H8" i="68" s="1"/>
  <c r="G6" i="66"/>
  <c r="G6" i="68" s="1"/>
  <c r="F6" i="66"/>
  <c r="E6" i="66"/>
  <c r="E6" i="68" s="1"/>
  <c r="B6" i="66"/>
  <c r="B6" i="68" s="1"/>
  <c r="K8" i="66" l="1"/>
  <c r="K14" i="66" s="1"/>
  <c r="B8" i="68"/>
  <c r="B21" i="63" s="1"/>
  <c r="C8" i="66"/>
  <c r="C6" i="67" s="1"/>
  <c r="B7" i="67" s="1"/>
  <c r="L8" i="68"/>
  <c r="E8" i="68"/>
  <c r="E21" i="63" s="1"/>
  <c r="D15" i="68"/>
  <c r="D22" i="63" s="1"/>
  <c r="L15" i="68"/>
  <c r="L22" i="63" s="1"/>
  <c r="D8" i="68"/>
  <c r="D21" i="63" s="1"/>
  <c r="D23" i="63" s="1"/>
  <c r="E15" i="71"/>
  <c r="B31" i="63"/>
  <c r="B33" i="63"/>
  <c r="L21" i="63"/>
  <c r="N12" i="68"/>
  <c r="N13" i="68"/>
  <c r="M8" i="68"/>
  <c r="M21" i="63" s="1"/>
  <c r="C15" i="68"/>
  <c r="C22" i="63" s="1"/>
  <c r="G15" i="68"/>
  <c r="G22" i="63" s="1"/>
  <c r="K15" i="68"/>
  <c r="K22" i="63" s="1"/>
  <c r="N33" i="63"/>
  <c r="N31" i="63"/>
  <c r="C19" i="78"/>
  <c r="C20" i="78" s="1"/>
  <c r="D6" i="78" s="1"/>
  <c r="D9" i="78" s="1"/>
  <c r="D14" i="78" s="1"/>
  <c r="H16" i="68"/>
  <c r="H10" i="70" s="1"/>
  <c r="H21" i="63"/>
  <c r="H23" i="63" s="1"/>
  <c r="D15" i="71"/>
  <c r="L8" i="66"/>
  <c r="L6" i="67" s="1"/>
  <c r="H8" i="66"/>
  <c r="E8" i="66"/>
  <c r="F13" i="66" s="1"/>
  <c r="C6" i="68"/>
  <c r="C8" i="68" s="1"/>
  <c r="M8" i="66"/>
  <c r="M9" i="71" s="1"/>
  <c r="K6" i="68"/>
  <c r="K8" i="68" s="1"/>
  <c r="D7" i="70"/>
  <c r="D9" i="71"/>
  <c r="D6" i="67"/>
  <c r="E13" i="66"/>
  <c r="D14" i="66"/>
  <c r="H7" i="70"/>
  <c r="H9" i="71"/>
  <c r="H14" i="81" s="1"/>
  <c r="H6" i="67"/>
  <c r="I13" i="66"/>
  <c r="C14" i="66"/>
  <c r="E9" i="71"/>
  <c r="E7" i="70"/>
  <c r="E6" i="67"/>
  <c r="E14" i="66"/>
  <c r="F6" i="68"/>
  <c r="F8" i="68" s="1"/>
  <c r="F21" i="63" s="1"/>
  <c r="F8" i="66"/>
  <c r="J6" i="68"/>
  <c r="J8" i="68" s="1"/>
  <c r="J21" i="63" s="1"/>
  <c r="J8" i="66"/>
  <c r="N6" i="66"/>
  <c r="N8" i="66" s="1"/>
  <c r="I8" i="66"/>
  <c r="I15" i="71"/>
  <c r="M15" i="71"/>
  <c r="C7" i="70"/>
  <c r="C9" i="71"/>
  <c r="C14" i="81" s="1"/>
  <c r="K7" i="70"/>
  <c r="K9" i="71"/>
  <c r="D13" i="66"/>
  <c r="D15" i="66" s="1"/>
  <c r="D8" i="69" s="1"/>
  <c r="L13" i="66"/>
  <c r="K6" i="67"/>
  <c r="G8" i="68"/>
  <c r="N14" i="68"/>
  <c r="N17" i="68" s="1"/>
  <c r="F15" i="71"/>
  <c r="J15" i="71"/>
  <c r="E15" i="68"/>
  <c r="I15" i="68"/>
  <c r="M15" i="68"/>
  <c r="B8" i="66"/>
  <c r="G8" i="66"/>
  <c r="B15" i="68"/>
  <c r="F15" i="68"/>
  <c r="F22" i="63" s="1"/>
  <c r="J15" i="68"/>
  <c r="J22" i="63" s="1"/>
  <c r="N11" i="68"/>
  <c r="H15" i="71"/>
  <c r="L15" i="71"/>
  <c r="N10" i="68"/>
  <c r="C15" i="71"/>
  <c r="G15" i="71"/>
  <c r="K15" i="71"/>
  <c r="N7" i="46"/>
  <c r="M25" i="54"/>
  <c r="L25" i="54"/>
  <c r="K25" i="54"/>
  <c r="J25" i="54"/>
  <c r="I25" i="54"/>
  <c r="H25" i="54"/>
  <c r="G25" i="54"/>
  <c r="F25" i="54"/>
  <c r="E25" i="54"/>
  <c r="D25" i="54"/>
  <c r="C25" i="54"/>
  <c r="B25" i="54"/>
  <c r="M13" i="54"/>
  <c r="L13" i="54"/>
  <c r="K13" i="54"/>
  <c r="J13" i="54"/>
  <c r="I13" i="54"/>
  <c r="H13" i="54"/>
  <c r="G13" i="54"/>
  <c r="F13" i="54"/>
  <c r="E13" i="54"/>
  <c r="D13" i="54"/>
  <c r="C13" i="54"/>
  <c r="B13" i="54"/>
  <c r="M10" i="54"/>
  <c r="D16" i="68" l="1"/>
  <c r="L23" i="63"/>
  <c r="M7" i="70"/>
  <c r="M8" i="70" s="1"/>
  <c r="M9" i="70" s="1"/>
  <c r="M14" i="66"/>
  <c r="H18" i="68"/>
  <c r="H12" i="69" s="1"/>
  <c r="L9" i="71"/>
  <c r="D14" i="81"/>
  <c r="M14" i="81"/>
  <c r="L16" i="68"/>
  <c r="K14" i="81"/>
  <c r="I16" i="68"/>
  <c r="I18" i="68" s="1"/>
  <c r="I12" i="69" s="1"/>
  <c r="I22" i="63"/>
  <c r="I23" i="63" s="1"/>
  <c r="F23" i="63"/>
  <c r="M13" i="66"/>
  <c r="M15" i="66" s="1"/>
  <c r="M8" i="69" s="1"/>
  <c r="L7" i="70"/>
  <c r="N15" i="68"/>
  <c r="M6" i="67"/>
  <c r="L7" i="67" s="1"/>
  <c r="L8" i="67" s="1"/>
  <c r="E14" i="81"/>
  <c r="L14" i="66"/>
  <c r="L15" i="66" s="1"/>
  <c r="L8" i="69" s="1"/>
  <c r="B16" i="68"/>
  <c r="B10" i="70" s="1"/>
  <c r="B22" i="63"/>
  <c r="E16" i="68"/>
  <c r="E10" i="70" s="1"/>
  <c r="E22" i="63"/>
  <c r="E23" i="63" s="1"/>
  <c r="M16" i="68"/>
  <c r="M10" i="70" s="1"/>
  <c r="M22" i="63"/>
  <c r="M23" i="63" s="1"/>
  <c r="J23" i="63"/>
  <c r="D16" i="78"/>
  <c r="B10" i="81" s="1"/>
  <c r="K16" i="68"/>
  <c r="K18" i="68" s="1"/>
  <c r="K12" i="69" s="1"/>
  <c r="K21" i="63"/>
  <c r="K23" i="63" s="1"/>
  <c r="C16" i="68"/>
  <c r="C18" i="68" s="1"/>
  <c r="C12" i="69" s="1"/>
  <c r="C21" i="63"/>
  <c r="C23" i="63" s="1"/>
  <c r="H14" i="66"/>
  <c r="G16" i="68"/>
  <c r="G21" i="63"/>
  <c r="I10" i="70"/>
  <c r="G7" i="70"/>
  <c r="G9" i="71"/>
  <c r="G6" i="67"/>
  <c r="G14" i="66"/>
  <c r="H13" i="66"/>
  <c r="C8" i="70"/>
  <c r="C9" i="70" s="1"/>
  <c r="F16" i="68"/>
  <c r="C7" i="67"/>
  <c r="G10" i="70"/>
  <c r="G18" i="68"/>
  <c r="G12" i="69" s="1"/>
  <c r="F7" i="70"/>
  <c r="F9" i="71"/>
  <c r="F6" i="67"/>
  <c r="F14" i="66"/>
  <c r="F15" i="66" s="1"/>
  <c r="F8" i="69" s="1"/>
  <c r="G13" i="66"/>
  <c r="E15" i="66"/>
  <c r="E8" i="69" s="1"/>
  <c r="J7" i="67"/>
  <c r="K8" i="70"/>
  <c r="K9" i="70" s="1"/>
  <c r="D7" i="67"/>
  <c r="D8" i="67" s="1"/>
  <c r="N6" i="68"/>
  <c r="N8" i="68" s="1"/>
  <c r="D10" i="70"/>
  <c r="D18" i="68"/>
  <c r="D12" i="69" s="1"/>
  <c r="J7" i="70"/>
  <c r="J9" i="71"/>
  <c r="J6" i="67"/>
  <c r="K13" i="66"/>
  <c r="K15" i="66" s="1"/>
  <c r="K8" i="69" s="1"/>
  <c r="J14" i="66"/>
  <c r="E8" i="70"/>
  <c r="E9" i="70" s="1"/>
  <c r="H8" i="70"/>
  <c r="H9" i="70" s="1"/>
  <c r="I9" i="71"/>
  <c r="I6" i="67"/>
  <c r="I14" i="66"/>
  <c r="I15" i="66" s="1"/>
  <c r="I8" i="69" s="1"/>
  <c r="J13" i="66"/>
  <c r="I7" i="70"/>
  <c r="G7" i="67"/>
  <c r="B7" i="70"/>
  <c r="B9" i="71"/>
  <c r="B6" i="67"/>
  <c r="B14" i="66"/>
  <c r="C13" i="66"/>
  <c r="J16" i="68"/>
  <c r="B10" i="71"/>
  <c r="C9" i="67"/>
  <c r="K7" i="67"/>
  <c r="K8" i="67" s="1"/>
  <c r="D8" i="70"/>
  <c r="D9" i="70" s="1"/>
  <c r="B14" i="54"/>
  <c r="C14" i="54" s="1"/>
  <c r="B6" i="52"/>
  <c r="N6" i="52" s="1"/>
  <c r="M14" i="51"/>
  <c r="M17" i="51" s="1"/>
  <c r="L14" i="51"/>
  <c r="L17" i="51" s="1"/>
  <c r="K14" i="51"/>
  <c r="K17" i="51" s="1"/>
  <c r="J14" i="51"/>
  <c r="J17" i="51" s="1"/>
  <c r="I14" i="51"/>
  <c r="I17" i="51" s="1"/>
  <c r="H14" i="51"/>
  <c r="H17" i="51" s="1"/>
  <c r="G14" i="51"/>
  <c r="G17" i="51" s="1"/>
  <c r="F14" i="51"/>
  <c r="F17" i="51" s="1"/>
  <c r="M13" i="51"/>
  <c r="L13" i="51"/>
  <c r="K13" i="51"/>
  <c r="J13" i="51"/>
  <c r="I13" i="51"/>
  <c r="H13" i="51"/>
  <c r="G13" i="51"/>
  <c r="F13" i="51"/>
  <c r="M12" i="51"/>
  <c r="L12" i="51"/>
  <c r="K12" i="51"/>
  <c r="J12" i="51"/>
  <c r="I12" i="51"/>
  <c r="H12" i="51"/>
  <c r="G12" i="51"/>
  <c r="F12" i="51"/>
  <c r="M11" i="51"/>
  <c r="L11" i="51"/>
  <c r="K11" i="51"/>
  <c r="J11" i="51"/>
  <c r="I11" i="51"/>
  <c r="H11" i="51"/>
  <c r="G11" i="51"/>
  <c r="F11" i="51"/>
  <c r="M10" i="51"/>
  <c r="M15" i="51" s="1"/>
  <c r="M18" i="63" s="1"/>
  <c r="L10" i="51"/>
  <c r="K10" i="51"/>
  <c r="J10" i="51"/>
  <c r="I10" i="51"/>
  <c r="H10" i="51"/>
  <c r="H15" i="51" s="1"/>
  <c r="H18" i="63" s="1"/>
  <c r="G10" i="51"/>
  <c r="G15" i="51" s="1"/>
  <c r="G18" i="63" s="1"/>
  <c r="F10" i="51"/>
  <c r="F15" i="51" s="1"/>
  <c r="F18" i="63" s="1"/>
  <c r="M7" i="51"/>
  <c r="N7" i="51" s="1"/>
  <c r="L7" i="51"/>
  <c r="K7" i="51"/>
  <c r="J7" i="51"/>
  <c r="I7" i="51"/>
  <c r="H7" i="51"/>
  <c r="G7" i="51"/>
  <c r="F7" i="51"/>
  <c r="E7" i="51"/>
  <c r="D7" i="51"/>
  <c r="C7" i="51"/>
  <c r="D6" i="51"/>
  <c r="B15" i="46"/>
  <c r="B9" i="46"/>
  <c r="N9" i="46" s="1"/>
  <c r="B13" i="45"/>
  <c r="M7" i="45"/>
  <c r="L7" i="45"/>
  <c r="K7" i="45"/>
  <c r="J7" i="45"/>
  <c r="I7" i="45"/>
  <c r="H7" i="45"/>
  <c r="G7" i="45"/>
  <c r="F7" i="45"/>
  <c r="E7" i="45"/>
  <c r="D7" i="45"/>
  <c r="C7" i="45"/>
  <c r="M6" i="45"/>
  <c r="M6" i="51" s="1"/>
  <c r="L6" i="45"/>
  <c r="L6" i="51" s="1"/>
  <c r="K6" i="45"/>
  <c r="K6" i="51" s="1"/>
  <c r="J6" i="45"/>
  <c r="J6" i="51" s="1"/>
  <c r="I6" i="45"/>
  <c r="I6" i="51" s="1"/>
  <c r="H6" i="45"/>
  <c r="H6" i="51" s="1"/>
  <c r="G6" i="45"/>
  <c r="G6" i="51" s="1"/>
  <c r="F6" i="45"/>
  <c r="F6" i="51" s="1"/>
  <c r="E6" i="45"/>
  <c r="E6" i="51" s="1"/>
  <c r="C6" i="45"/>
  <c r="C6" i="51" s="1"/>
  <c r="B6" i="45"/>
  <c r="J14" i="81" l="1"/>
  <c r="L14" i="81"/>
  <c r="L8" i="70"/>
  <c r="L9" i="70" s="1"/>
  <c r="N16" i="68"/>
  <c r="N18" i="68" s="1"/>
  <c r="C10" i="70"/>
  <c r="K10" i="70"/>
  <c r="B18" i="68"/>
  <c r="B12" i="69" s="1"/>
  <c r="L10" i="70"/>
  <c r="L11" i="70" s="1"/>
  <c r="L18" i="68"/>
  <c r="L12" i="69" s="1"/>
  <c r="F14" i="81"/>
  <c r="E18" i="68"/>
  <c r="E12" i="69" s="1"/>
  <c r="M11" i="70"/>
  <c r="M18" i="68"/>
  <c r="M12" i="69" s="1"/>
  <c r="I14" i="81"/>
  <c r="M8" i="67"/>
  <c r="E11" i="70"/>
  <c r="B14" i="81"/>
  <c r="G14" i="81"/>
  <c r="N22" i="63"/>
  <c r="B23" i="63"/>
  <c r="D19" i="78"/>
  <c r="D20" i="78" s="1"/>
  <c r="E6" i="78" s="1"/>
  <c r="E9" i="78" s="1"/>
  <c r="E14" i="78" s="1"/>
  <c r="K11" i="70"/>
  <c r="C11" i="70"/>
  <c r="H15" i="66"/>
  <c r="H8" i="69" s="1"/>
  <c r="G23" i="63"/>
  <c r="N21" i="63"/>
  <c r="N23" i="63" s="1"/>
  <c r="H11" i="70"/>
  <c r="D11" i="70"/>
  <c r="J15" i="66"/>
  <c r="J8" i="69" s="1"/>
  <c r="I8" i="70"/>
  <c r="I9" i="70" s="1"/>
  <c r="F18" i="68"/>
  <c r="F12" i="69" s="1"/>
  <c r="F10" i="70"/>
  <c r="C15" i="66"/>
  <c r="C8" i="69" s="1"/>
  <c r="N13" i="66"/>
  <c r="B8" i="70"/>
  <c r="N7" i="70"/>
  <c r="L10" i="71"/>
  <c r="M9" i="67"/>
  <c r="E7" i="67"/>
  <c r="G8" i="67"/>
  <c r="F7" i="67"/>
  <c r="F8" i="67" s="1"/>
  <c r="J10" i="70"/>
  <c r="J18" i="68"/>
  <c r="J12" i="69" s="1"/>
  <c r="I7" i="67"/>
  <c r="I8" i="67" s="1"/>
  <c r="J8" i="67"/>
  <c r="K9" i="67"/>
  <c r="K10" i="67" s="1"/>
  <c r="J10" i="71"/>
  <c r="B15" i="66"/>
  <c r="B8" i="69" s="1"/>
  <c r="N14" i="66"/>
  <c r="G10" i="71"/>
  <c r="H9" i="67"/>
  <c r="J8" i="70"/>
  <c r="J9" i="70" s="1"/>
  <c r="C10" i="71"/>
  <c r="D9" i="67"/>
  <c r="D10" i="67" s="1"/>
  <c r="C8" i="67"/>
  <c r="C10" i="67" s="1"/>
  <c r="K10" i="71"/>
  <c r="L9" i="67"/>
  <c r="L10" i="67" s="1"/>
  <c r="N6" i="67"/>
  <c r="N8" i="67" s="1"/>
  <c r="N10" i="67" s="1"/>
  <c r="B8" i="67"/>
  <c r="B10" i="67" s="1"/>
  <c r="H7" i="67"/>
  <c r="D10" i="71"/>
  <c r="E9" i="67"/>
  <c r="G15" i="66"/>
  <c r="G8" i="69" s="1"/>
  <c r="F8" i="70"/>
  <c r="F9" i="70" s="1"/>
  <c r="G8" i="70"/>
  <c r="G9" i="70" s="1"/>
  <c r="B6" i="51"/>
  <c r="N6" i="51" s="1"/>
  <c r="N8" i="51" s="1"/>
  <c r="N6" i="45"/>
  <c r="N8" i="45" s="1"/>
  <c r="L15" i="51"/>
  <c r="H8" i="51"/>
  <c r="L8" i="51"/>
  <c r="L17" i="63" s="1"/>
  <c r="C15" i="54"/>
  <c r="D14" i="54"/>
  <c r="B15" i="54"/>
  <c r="I15" i="51"/>
  <c r="I18" i="63" s="1"/>
  <c r="M8" i="51"/>
  <c r="I8" i="51"/>
  <c r="J15" i="51"/>
  <c r="J18" i="63" s="1"/>
  <c r="K15" i="51"/>
  <c r="K18" i="63" s="1"/>
  <c r="J8" i="51"/>
  <c r="J17" i="63" s="1"/>
  <c r="J19" i="63" s="1"/>
  <c r="G8" i="51"/>
  <c r="K8" i="51"/>
  <c r="H8" i="45"/>
  <c r="L8" i="45"/>
  <c r="K8" i="45"/>
  <c r="I8" i="45"/>
  <c r="M8" i="45"/>
  <c r="G8" i="45"/>
  <c r="F8" i="45"/>
  <c r="J8" i="45"/>
  <c r="N10" i="70" l="1"/>
  <c r="M10" i="67"/>
  <c r="N12" i="69"/>
  <c r="K16" i="51"/>
  <c r="K17" i="63"/>
  <c r="K19" i="63" s="1"/>
  <c r="M16" i="51"/>
  <c r="M17" i="63"/>
  <c r="M19" i="63" s="1"/>
  <c r="H16" i="51"/>
  <c r="H18" i="51" s="1"/>
  <c r="H12" i="52" s="1"/>
  <c r="H17" i="63"/>
  <c r="H19" i="63" s="1"/>
  <c r="G16" i="51"/>
  <c r="G10" i="53" s="1"/>
  <c r="G17" i="63"/>
  <c r="G19" i="63" s="1"/>
  <c r="I16" i="51"/>
  <c r="I17" i="63"/>
  <c r="I19" i="63" s="1"/>
  <c r="L16" i="51"/>
  <c r="L18" i="63"/>
  <c r="L19" i="63" s="1"/>
  <c r="E16" i="78"/>
  <c r="C10" i="81" s="1"/>
  <c r="I11" i="70"/>
  <c r="G11" i="70"/>
  <c r="J11" i="70"/>
  <c r="F11" i="70"/>
  <c r="L20" i="71"/>
  <c r="L16" i="67"/>
  <c r="M15" i="67"/>
  <c r="D20" i="71"/>
  <c r="D16" i="67"/>
  <c r="E15" i="67"/>
  <c r="M20" i="71"/>
  <c r="M16" i="67"/>
  <c r="K20" i="71"/>
  <c r="K16" i="67"/>
  <c r="L15" i="67"/>
  <c r="N8" i="70"/>
  <c r="N9" i="70" s="1"/>
  <c r="B9" i="70"/>
  <c r="B9" i="69"/>
  <c r="N8" i="69"/>
  <c r="N9" i="69" s="1"/>
  <c r="I10" i="71"/>
  <c r="J9" i="67"/>
  <c r="J10" i="67" s="1"/>
  <c r="H10" i="71"/>
  <c r="I9" i="67"/>
  <c r="I10" i="67" s="1"/>
  <c r="H8" i="67"/>
  <c r="H10" i="67" s="1"/>
  <c r="N15" i="66"/>
  <c r="B20" i="71"/>
  <c r="C15" i="67"/>
  <c r="B16" i="67"/>
  <c r="C20" i="71"/>
  <c r="C16" i="67"/>
  <c r="D15" i="67"/>
  <c r="G9" i="67"/>
  <c r="G10" i="67" s="1"/>
  <c r="F10" i="71"/>
  <c r="E10" i="71"/>
  <c r="F9" i="67"/>
  <c r="F10" i="67" s="1"/>
  <c r="E8" i="67"/>
  <c r="E10" i="67" s="1"/>
  <c r="G9" i="54"/>
  <c r="G7" i="53"/>
  <c r="J9" i="54"/>
  <c r="J7" i="53"/>
  <c r="I6" i="46"/>
  <c r="H7" i="46" s="1"/>
  <c r="I9" i="54"/>
  <c r="I7" i="53"/>
  <c r="F6" i="46"/>
  <c r="E7" i="46" s="1"/>
  <c r="F9" i="54"/>
  <c r="F7" i="53"/>
  <c r="K6" i="46"/>
  <c r="J7" i="46" s="1"/>
  <c r="K9" i="54"/>
  <c r="K7" i="53"/>
  <c r="L6" i="46"/>
  <c r="K7" i="46" s="1"/>
  <c r="L9" i="54"/>
  <c r="L7" i="53"/>
  <c r="L8" i="53" s="1"/>
  <c r="L9" i="53" s="1"/>
  <c r="M9" i="54"/>
  <c r="M7" i="53"/>
  <c r="M8" i="53" s="1"/>
  <c r="M9" i="53" s="1"/>
  <c r="H6" i="46"/>
  <c r="G7" i="46" s="1"/>
  <c r="H9" i="54"/>
  <c r="H7" i="53"/>
  <c r="H8" i="53" s="1"/>
  <c r="H9" i="53" s="1"/>
  <c r="D15" i="54"/>
  <c r="E14" i="54"/>
  <c r="I18" i="51"/>
  <c r="I12" i="52" s="1"/>
  <c r="I10" i="53"/>
  <c r="G18" i="51"/>
  <c r="G12" i="52" s="1"/>
  <c r="L18" i="51"/>
  <c r="L12" i="52" s="1"/>
  <c r="L10" i="53"/>
  <c r="K18" i="51"/>
  <c r="K12" i="52" s="1"/>
  <c r="K10" i="53"/>
  <c r="M18" i="51"/>
  <c r="M12" i="52" s="1"/>
  <c r="M10" i="53"/>
  <c r="M13" i="45"/>
  <c r="K14" i="45"/>
  <c r="H14" i="45"/>
  <c r="J16" i="51"/>
  <c r="I13" i="45"/>
  <c r="I14" i="45"/>
  <c r="F14" i="45"/>
  <c r="J14" i="45"/>
  <c r="J6" i="46"/>
  <c r="M14" i="45"/>
  <c r="M6" i="46"/>
  <c r="K13" i="45"/>
  <c r="L14" i="45"/>
  <c r="G13" i="45"/>
  <c r="J13" i="45"/>
  <c r="L13" i="45"/>
  <c r="G14" i="45"/>
  <c r="G6" i="46"/>
  <c r="H13" i="45"/>
  <c r="H10" i="53" l="1"/>
  <c r="H11" i="53" s="1"/>
  <c r="K15" i="45"/>
  <c r="K8" i="52" s="1"/>
  <c r="E19" i="78"/>
  <c r="E20" i="78" s="1"/>
  <c r="F6" i="78" s="1"/>
  <c r="F9" i="78" s="1"/>
  <c r="F14" i="78" s="1"/>
  <c r="B11" i="70"/>
  <c r="N11" i="70"/>
  <c r="D17" i="67"/>
  <c r="D11" i="69" s="1"/>
  <c r="D13" i="69" s="1"/>
  <c r="L17" i="67"/>
  <c r="L11" i="69" s="1"/>
  <c r="L13" i="69" s="1"/>
  <c r="M17" i="67"/>
  <c r="M11" i="69" s="1"/>
  <c r="M13" i="69" s="1"/>
  <c r="G20" i="71"/>
  <c r="G16" i="67"/>
  <c r="H15" i="67"/>
  <c r="I20" i="71"/>
  <c r="I16" i="67"/>
  <c r="J15" i="67"/>
  <c r="E20" i="71"/>
  <c r="F15" i="67"/>
  <c r="E16" i="67"/>
  <c r="J20" i="71"/>
  <c r="K15" i="67"/>
  <c r="K17" i="67" s="1"/>
  <c r="K11" i="69" s="1"/>
  <c r="K13" i="69" s="1"/>
  <c r="J16" i="67"/>
  <c r="H20" i="71"/>
  <c r="H16" i="67"/>
  <c r="I15" i="67"/>
  <c r="F20" i="71"/>
  <c r="F16" i="67"/>
  <c r="G15" i="67"/>
  <c r="G17" i="67" s="1"/>
  <c r="G11" i="69" s="1"/>
  <c r="G13" i="69" s="1"/>
  <c r="B17" i="67"/>
  <c r="B11" i="69" s="1"/>
  <c r="C17" i="67"/>
  <c r="C11" i="69" s="1"/>
  <c r="C13" i="69" s="1"/>
  <c r="E17" i="67"/>
  <c r="E11" i="69" s="1"/>
  <c r="E13" i="69" s="1"/>
  <c r="L11" i="53"/>
  <c r="H15" i="45"/>
  <c r="H8" i="52" s="1"/>
  <c r="L9" i="46"/>
  <c r="K10" i="54"/>
  <c r="F8" i="53"/>
  <c r="F9" i="53" s="1"/>
  <c r="G8" i="53"/>
  <c r="G9" i="53" s="1"/>
  <c r="K9" i="46"/>
  <c r="J10" i="54"/>
  <c r="K8" i="53"/>
  <c r="K9" i="53" s="1"/>
  <c r="F9" i="46"/>
  <c r="E10" i="54"/>
  <c r="J8" i="53"/>
  <c r="J9" i="53" s="1"/>
  <c r="I9" i="46"/>
  <c r="H10" i="54"/>
  <c r="H9" i="46"/>
  <c r="G10" i="54"/>
  <c r="H8" i="46"/>
  <c r="M11" i="53"/>
  <c r="I8" i="53"/>
  <c r="I9" i="53" s="1"/>
  <c r="F14" i="54"/>
  <c r="E15" i="54"/>
  <c r="J18" i="51"/>
  <c r="J12" i="52" s="1"/>
  <c r="J10" i="53"/>
  <c r="M15" i="45"/>
  <c r="M8" i="52" s="1"/>
  <c r="I15" i="45"/>
  <c r="I8" i="52" s="1"/>
  <c r="G15" i="45"/>
  <c r="G8" i="52" s="1"/>
  <c r="L15" i="45"/>
  <c r="L8" i="52" s="1"/>
  <c r="J15" i="45"/>
  <c r="J8" i="52" s="1"/>
  <c r="L7" i="46"/>
  <c r="L10" i="54" s="1"/>
  <c r="M8" i="46"/>
  <c r="I7" i="46"/>
  <c r="I10" i="54" s="1"/>
  <c r="J8" i="46"/>
  <c r="K8" i="46"/>
  <c r="G8" i="46"/>
  <c r="F7" i="46"/>
  <c r="I11" i="53" l="1"/>
  <c r="G11" i="53"/>
  <c r="K10" i="46"/>
  <c r="K20" i="54" s="1"/>
  <c r="K11" i="53"/>
  <c r="F16" i="78"/>
  <c r="D10" i="81" s="1"/>
  <c r="I17" i="67"/>
  <c r="I11" i="69" s="1"/>
  <c r="I13" i="69" s="1"/>
  <c r="F17" i="67"/>
  <c r="F11" i="69" s="1"/>
  <c r="F13" i="69" s="1"/>
  <c r="N16" i="67"/>
  <c r="N15" i="67"/>
  <c r="H17" i="67"/>
  <c r="H11" i="69" s="1"/>
  <c r="H13" i="69" s="1"/>
  <c r="B13" i="69"/>
  <c r="J17" i="67"/>
  <c r="J11" i="69" s="1"/>
  <c r="J13" i="69" s="1"/>
  <c r="H10" i="46"/>
  <c r="H20" i="54" s="1"/>
  <c r="G9" i="46"/>
  <c r="G10" i="46" s="1"/>
  <c r="G20" i="54" s="1"/>
  <c r="F10" i="54"/>
  <c r="J11" i="53"/>
  <c r="G14" i="54"/>
  <c r="F15" i="54"/>
  <c r="K16" i="46"/>
  <c r="L15" i="46"/>
  <c r="J9" i="46"/>
  <c r="J10" i="46" s="1"/>
  <c r="J20" i="54" s="1"/>
  <c r="I8" i="46"/>
  <c r="I10" i="46" s="1"/>
  <c r="I20" i="54" s="1"/>
  <c r="M9" i="46"/>
  <c r="M10" i="46" s="1"/>
  <c r="L8" i="46"/>
  <c r="L10" i="46" s="1"/>
  <c r="L20" i="54" s="1"/>
  <c r="C23" i="58"/>
  <c r="C24" i="58" s="1"/>
  <c r="C14" i="58"/>
  <c r="C10" i="58"/>
  <c r="B7" i="45"/>
  <c r="B14" i="69" l="1"/>
  <c r="B3" i="81"/>
  <c r="C3" i="81" s="1"/>
  <c r="D3" i="81" s="1"/>
  <c r="E3" i="81" s="1"/>
  <c r="F3" i="81" s="1"/>
  <c r="G3" i="81" s="1"/>
  <c r="H3" i="81" s="1"/>
  <c r="I3" i="81" s="1"/>
  <c r="J3" i="81" s="1"/>
  <c r="K3" i="81" s="1"/>
  <c r="L3" i="81" s="1"/>
  <c r="F19" i="78"/>
  <c r="F20" i="78" s="1"/>
  <c r="G6" i="78" s="1"/>
  <c r="G9" i="78" s="1"/>
  <c r="G14" i="78" s="1"/>
  <c r="N17" i="67"/>
  <c r="B16" i="69"/>
  <c r="N11" i="69"/>
  <c r="N13" i="69" s="1"/>
  <c r="N14" i="69" s="1"/>
  <c r="I15" i="46"/>
  <c r="H16" i="46"/>
  <c r="M16" i="46"/>
  <c r="M20" i="54"/>
  <c r="H14" i="54"/>
  <c r="G15" i="54"/>
  <c r="G16" i="46"/>
  <c r="H15" i="46"/>
  <c r="K15" i="46"/>
  <c r="K17" i="46" s="1"/>
  <c r="K11" i="52" s="1"/>
  <c r="K13" i="52" s="1"/>
  <c r="J16" i="46"/>
  <c r="M15" i="46"/>
  <c r="L16" i="46"/>
  <c r="L17" i="46" s="1"/>
  <c r="L11" i="52" s="1"/>
  <c r="L13" i="52" s="1"/>
  <c r="I16" i="46"/>
  <c r="J15" i="46"/>
  <c r="C15" i="58"/>
  <c r="I17" i="46" l="1"/>
  <c r="I11" i="52" s="1"/>
  <c r="I13" i="52" s="1"/>
  <c r="G16" i="78"/>
  <c r="E10" i="81" s="1"/>
  <c r="B19" i="69"/>
  <c r="B20" i="69" s="1"/>
  <c r="B12" i="70"/>
  <c r="B21" i="71"/>
  <c r="M17" i="46"/>
  <c r="M11" i="52" s="1"/>
  <c r="M13" i="52" s="1"/>
  <c r="H17" i="46"/>
  <c r="H11" i="52" s="1"/>
  <c r="H13" i="52" s="1"/>
  <c r="I14" i="54"/>
  <c r="H15" i="54"/>
  <c r="J17" i="46"/>
  <c r="J11" i="52" s="1"/>
  <c r="J13" i="52" s="1"/>
  <c r="E14" i="51"/>
  <c r="D14" i="51"/>
  <c r="C14" i="51"/>
  <c r="B14" i="51"/>
  <c r="E13" i="51"/>
  <c r="D13" i="51"/>
  <c r="C13" i="51"/>
  <c r="B13" i="51"/>
  <c r="E12" i="51"/>
  <c r="D12" i="51"/>
  <c r="C12" i="51"/>
  <c r="B12" i="51"/>
  <c r="E11" i="51"/>
  <c r="D11" i="51"/>
  <c r="C11" i="51"/>
  <c r="B11" i="51"/>
  <c r="E10" i="51"/>
  <c r="D10" i="51"/>
  <c r="C10" i="51"/>
  <c r="B10" i="51"/>
  <c r="B7" i="51"/>
  <c r="N10" i="51" l="1"/>
  <c r="N11" i="51"/>
  <c r="N12" i="51"/>
  <c r="N13" i="51"/>
  <c r="G19" i="78"/>
  <c r="G20" i="78" s="1"/>
  <c r="H6" i="78" s="1"/>
  <c r="H9" i="78" s="1"/>
  <c r="H14" i="78" s="1"/>
  <c r="B8" i="71"/>
  <c r="B11" i="71" s="1"/>
  <c r="B16" i="71" s="1"/>
  <c r="C6" i="69"/>
  <c r="C9" i="69" s="1"/>
  <c r="C14" i="69" s="1"/>
  <c r="B22" i="71"/>
  <c r="B23" i="71" s="1"/>
  <c r="B13" i="70"/>
  <c r="N14" i="51"/>
  <c r="N17" i="51" s="1"/>
  <c r="I15" i="54"/>
  <c r="J14" i="54"/>
  <c r="C8" i="45"/>
  <c r="B8" i="45"/>
  <c r="B15" i="51"/>
  <c r="B18" i="63" s="1"/>
  <c r="B17" i="51"/>
  <c r="C15" i="51"/>
  <c r="C18" i="63" s="1"/>
  <c r="C17" i="51"/>
  <c r="D15" i="51"/>
  <c r="D18" i="63" s="1"/>
  <c r="D17" i="51"/>
  <c r="E15" i="51"/>
  <c r="E18" i="63" s="1"/>
  <c r="E17" i="51"/>
  <c r="N18" i="63" l="1"/>
  <c r="B26" i="71"/>
  <c r="B27" i="71" s="1"/>
  <c r="B28" i="71" s="1"/>
  <c r="B30" i="63"/>
  <c r="B32" i="63"/>
  <c r="H16" i="78"/>
  <c r="C16" i="69"/>
  <c r="N15" i="51"/>
  <c r="N16" i="51" s="1"/>
  <c r="N18" i="51" s="1"/>
  <c r="B6" i="46"/>
  <c r="B9" i="54"/>
  <c r="B7" i="53"/>
  <c r="C6" i="46"/>
  <c r="B7" i="46" s="1"/>
  <c r="B10" i="54" s="1"/>
  <c r="C9" i="54"/>
  <c r="C7" i="53"/>
  <c r="K14" i="54"/>
  <c r="J15" i="54"/>
  <c r="D13" i="45"/>
  <c r="C14" i="45"/>
  <c r="B14" i="45"/>
  <c r="C13" i="45"/>
  <c r="D8" i="51"/>
  <c r="D8" i="45"/>
  <c r="C8" i="51"/>
  <c r="E8" i="45"/>
  <c r="C16" i="51" l="1"/>
  <c r="C17" i="63"/>
  <c r="C19" i="63" s="1"/>
  <c r="H19" i="78"/>
  <c r="H20" i="78" s="1"/>
  <c r="I6" i="78" s="1"/>
  <c r="I9" i="78" s="1"/>
  <c r="I14" i="78" s="1"/>
  <c r="D16" i="51"/>
  <c r="D18" i="51" s="1"/>
  <c r="D12" i="52" s="1"/>
  <c r="D17" i="63"/>
  <c r="C19" i="69"/>
  <c r="C20" i="69" s="1"/>
  <c r="C12" i="70"/>
  <c r="C21" i="71"/>
  <c r="D6" i="46"/>
  <c r="C7" i="46" s="1"/>
  <c r="D9" i="54"/>
  <c r="D7" i="53"/>
  <c r="D8" i="53" s="1"/>
  <c r="D9" i="53" s="1"/>
  <c r="C15" i="45"/>
  <c r="C8" i="52" s="1"/>
  <c r="B15" i="45"/>
  <c r="B8" i="52" s="1"/>
  <c r="C8" i="53"/>
  <c r="C9" i="53" s="1"/>
  <c r="B8" i="53"/>
  <c r="E6" i="46"/>
  <c r="D7" i="46" s="1"/>
  <c r="D8" i="46" s="1"/>
  <c r="E9" i="54"/>
  <c r="E7" i="53"/>
  <c r="E8" i="53" s="1"/>
  <c r="E9" i="53" s="1"/>
  <c r="K15" i="54"/>
  <c r="L14" i="54"/>
  <c r="D10" i="53"/>
  <c r="C18" i="51"/>
  <c r="C12" i="52" s="1"/>
  <c r="C10" i="53"/>
  <c r="E14" i="45"/>
  <c r="F13" i="45"/>
  <c r="F15" i="45" s="1"/>
  <c r="F8" i="52" s="1"/>
  <c r="E13" i="45"/>
  <c r="D14" i="45"/>
  <c r="D15" i="45" s="1"/>
  <c r="D8" i="52" s="1"/>
  <c r="C9" i="46"/>
  <c r="C8" i="46"/>
  <c r="B8" i="51"/>
  <c r="F8" i="51"/>
  <c r="E8" i="51"/>
  <c r="F16" i="51" l="1"/>
  <c r="F17" i="63"/>
  <c r="F19" i="63" s="1"/>
  <c r="B16" i="51"/>
  <c r="B10" i="53" s="1"/>
  <c r="B17" i="63"/>
  <c r="B19" i="63" s="1"/>
  <c r="E16" i="51"/>
  <c r="E17" i="63"/>
  <c r="E19" i="63" s="1"/>
  <c r="I16" i="78"/>
  <c r="D19" i="63"/>
  <c r="D11" i="53"/>
  <c r="C13" i="70"/>
  <c r="C22" i="71"/>
  <c r="C23" i="71" s="1"/>
  <c r="C8" i="71"/>
  <c r="C11" i="71" s="1"/>
  <c r="C16" i="71" s="1"/>
  <c r="D6" i="69"/>
  <c r="D9" i="69" s="1"/>
  <c r="D14" i="69" s="1"/>
  <c r="N14" i="45"/>
  <c r="N13" i="45"/>
  <c r="N15" i="45" s="1"/>
  <c r="N8" i="53"/>
  <c r="E9" i="46"/>
  <c r="D10" i="54"/>
  <c r="N6" i="46"/>
  <c r="N8" i="46" s="1"/>
  <c r="N10" i="46" s="1"/>
  <c r="E8" i="46"/>
  <c r="N7" i="53"/>
  <c r="C11" i="53"/>
  <c r="D9" i="46"/>
  <c r="D10" i="46" s="1"/>
  <c r="D20" i="54" s="1"/>
  <c r="C10" i="54"/>
  <c r="L15" i="54"/>
  <c r="M14" i="54"/>
  <c r="M15" i="54" s="1"/>
  <c r="F18" i="51"/>
  <c r="F12" i="52" s="1"/>
  <c r="F10" i="53"/>
  <c r="F11" i="53" s="1"/>
  <c r="E18" i="51"/>
  <c r="E12" i="52" s="1"/>
  <c r="E10" i="53"/>
  <c r="E11" i="53" s="1"/>
  <c r="B18" i="51"/>
  <c r="B12" i="52" s="1"/>
  <c r="E15" i="45"/>
  <c r="E8" i="52" s="1"/>
  <c r="N8" i="52" s="1"/>
  <c r="N9" i="52" s="1"/>
  <c r="B8" i="46"/>
  <c r="B10" i="46" s="1"/>
  <c r="B20" i="54" s="1"/>
  <c r="F8" i="46"/>
  <c r="F10" i="46" s="1"/>
  <c r="F20" i="54" s="1"/>
  <c r="C10" i="46"/>
  <c r="C20" i="54" s="1"/>
  <c r="C26" i="71" l="1"/>
  <c r="C30" i="63"/>
  <c r="C32" i="63"/>
  <c r="N17" i="63"/>
  <c r="N19" i="63" s="1"/>
  <c r="I19" i="78"/>
  <c r="I20" i="78" s="1"/>
  <c r="J6" i="78" s="1"/>
  <c r="J9" i="78" s="1"/>
  <c r="J14" i="78" s="1"/>
  <c r="D16" i="69"/>
  <c r="B9" i="81" s="1"/>
  <c r="C27" i="71"/>
  <c r="C28" i="71" s="1"/>
  <c r="N9" i="53"/>
  <c r="D16" i="46"/>
  <c r="N12" i="52"/>
  <c r="N10" i="53"/>
  <c r="E10" i="46"/>
  <c r="E15" i="46"/>
  <c r="C15" i="46"/>
  <c r="B16" i="46"/>
  <c r="C16" i="46"/>
  <c r="D15" i="46"/>
  <c r="D17" i="46" s="1"/>
  <c r="D11" i="52" s="1"/>
  <c r="G15" i="46"/>
  <c r="G17" i="46" s="1"/>
  <c r="G11" i="52" s="1"/>
  <c r="G13" i="52" s="1"/>
  <c r="F16" i="46"/>
  <c r="B9" i="52"/>
  <c r="J16" i="78" l="1"/>
  <c r="D19" i="69"/>
  <c r="D20" i="69" s="1"/>
  <c r="D12" i="70"/>
  <c r="D21" i="71"/>
  <c r="C17" i="46"/>
  <c r="C11" i="52" s="1"/>
  <c r="N11" i="53"/>
  <c r="E20" i="54"/>
  <c r="E16" i="46"/>
  <c r="E17" i="46" s="1"/>
  <c r="E11" i="52" s="1"/>
  <c r="F15" i="46"/>
  <c r="F17" i="46" s="1"/>
  <c r="F11" i="52" s="1"/>
  <c r="B17" i="46"/>
  <c r="B11" i="52" s="1"/>
  <c r="J19" i="78" l="1"/>
  <c r="J20" i="78" s="1"/>
  <c r="K6" i="78" s="1"/>
  <c r="K9" i="78" s="1"/>
  <c r="K14" i="78" s="1"/>
  <c r="D13" i="70"/>
  <c r="D22" i="71"/>
  <c r="D23" i="71" s="1"/>
  <c r="D8" i="71"/>
  <c r="D11" i="71" s="1"/>
  <c r="D16" i="71" s="1"/>
  <c r="E6" i="69"/>
  <c r="E9" i="69" s="1"/>
  <c r="E14" i="69" s="1"/>
  <c r="N16" i="46"/>
  <c r="N15" i="46"/>
  <c r="N11" i="52"/>
  <c r="N13" i="52" s="1"/>
  <c r="N14" i="52" s="1"/>
  <c r="E13" i="52"/>
  <c r="D26" i="71" l="1"/>
  <c r="D30" i="63"/>
  <c r="D32" i="63"/>
  <c r="K16" i="78"/>
  <c r="E16" i="69"/>
  <c r="C9" i="81" s="1"/>
  <c r="D27" i="71"/>
  <c r="D28" i="71" s="1"/>
  <c r="N17" i="46"/>
  <c r="B13" i="52"/>
  <c r="B14" i="52" s="1"/>
  <c r="B16" i="52" s="1"/>
  <c r="D13" i="52"/>
  <c r="C13" i="52"/>
  <c r="K19" i="78" l="1"/>
  <c r="K20" i="78" s="1"/>
  <c r="L6" i="78" s="1"/>
  <c r="L9" i="78" s="1"/>
  <c r="L14" i="78" s="1"/>
  <c r="E19" i="69"/>
  <c r="E20" i="69" s="1"/>
  <c r="E21" i="71"/>
  <c r="E12" i="70"/>
  <c r="B21" i="54"/>
  <c r="B12" i="53"/>
  <c r="F13" i="52"/>
  <c r="L16" i="78" l="1"/>
  <c r="E13" i="70"/>
  <c r="E22" i="71"/>
  <c r="E23" i="71" s="1"/>
  <c r="E8" i="71"/>
  <c r="E11" i="71" s="1"/>
  <c r="E16" i="71" s="1"/>
  <c r="F6" i="69"/>
  <c r="F9" i="69" s="1"/>
  <c r="F14" i="69" s="1"/>
  <c r="B22" i="54"/>
  <c r="B23" i="54" s="1"/>
  <c r="B9" i="53"/>
  <c r="B19" i="52"/>
  <c r="B11" i="53" l="1"/>
  <c r="E26" i="71"/>
  <c r="E30" i="63"/>
  <c r="E32" i="63"/>
  <c r="L19" i="78"/>
  <c r="L20" i="78" s="1"/>
  <c r="M6" i="78" s="1"/>
  <c r="M9" i="78" s="1"/>
  <c r="M14" i="78" s="1"/>
  <c r="E27" i="71"/>
  <c r="E28" i="71" s="1"/>
  <c r="F16" i="69"/>
  <c r="D9" i="81" s="1"/>
  <c r="B20" i="52"/>
  <c r="M16" i="78" l="1"/>
  <c r="F19" i="69"/>
  <c r="F20" i="69" s="1"/>
  <c r="F12" i="70"/>
  <c r="F21" i="71"/>
  <c r="C6" i="52"/>
  <c r="C9" i="52" s="1"/>
  <c r="C14" i="52" s="1"/>
  <c r="C16" i="52" s="1"/>
  <c r="C21" i="54" s="1"/>
  <c r="B8" i="54"/>
  <c r="B11" i="54" s="1"/>
  <c r="B16" i="54" s="1"/>
  <c r="N16" i="78" l="1"/>
  <c r="F10" i="81" s="1"/>
  <c r="M17" i="78"/>
  <c r="N17" i="78" s="1"/>
  <c r="M18" i="78"/>
  <c r="F13" i="70"/>
  <c r="F22" i="71"/>
  <c r="F23" i="71" s="1"/>
  <c r="F8" i="71"/>
  <c r="F11" i="71" s="1"/>
  <c r="F16" i="71" s="1"/>
  <c r="G6" i="69"/>
  <c r="G9" i="69" s="1"/>
  <c r="G14" i="69" s="1"/>
  <c r="C12" i="53"/>
  <c r="C19" i="52"/>
  <c r="C20" i="52" s="1"/>
  <c r="F26" i="71" l="1"/>
  <c r="F30" i="63"/>
  <c r="F32" i="63"/>
  <c r="N18" i="78"/>
  <c r="N19" i="78" s="1"/>
  <c r="N20" i="78" s="1"/>
  <c r="M4" i="81"/>
  <c r="M19" i="78"/>
  <c r="M20" i="78" s="1"/>
  <c r="F27" i="71"/>
  <c r="F28" i="71" s="1"/>
  <c r="G16" i="69"/>
  <c r="E9" i="81" s="1"/>
  <c r="C13" i="53"/>
  <c r="C22" i="54"/>
  <c r="C23" i="54" s="1"/>
  <c r="D6" i="52"/>
  <c r="D9" i="52" s="1"/>
  <c r="D14" i="52" s="1"/>
  <c r="D16" i="52" s="1"/>
  <c r="B8" i="81" s="1"/>
  <c r="C8" i="54"/>
  <c r="C11" i="54" s="1"/>
  <c r="C16" i="54" s="1"/>
  <c r="C29" i="63" l="1"/>
  <c r="G19" i="69"/>
  <c r="G20" i="69" s="1"/>
  <c r="G21" i="71"/>
  <c r="G12" i="70"/>
  <c r="D21" i="54"/>
  <c r="D12" i="53"/>
  <c r="D19" i="52"/>
  <c r="D20" i="52" s="1"/>
  <c r="G13" i="70" l="1"/>
  <c r="G22" i="71"/>
  <c r="G23" i="71" s="1"/>
  <c r="G8" i="71"/>
  <c r="G11" i="71" s="1"/>
  <c r="G16" i="71" s="1"/>
  <c r="H6" i="69"/>
  <c r="H9" i="69" s="1"/>
  <c r="H14" i="69" s="1"/>
  <c r="D13" i="53"/>
  <c r="D22" i="54"/>
  <c r="D23" i="54" s="1"/>
  <c r="E6" i="52"/>
  <c r="E9" i="52" s="1"/>
  <c r="E14" i="52" s="1"/>
  <c r="E16" i="52" s="1"/>
  <c r="D8" i="54"/>
  <c r="D11" i="54" s="1"/>
  <c r="D16" i="54" s="1"/>
  <c r="D29" i="63" l="1"/>
  <c r="E19" i="52"/>
  <c r="C8" i="81"/>
  <c r="G26" i="71"/>
  <c r="G30" i="63"/>
  <c r="G32" i="63"/>
  <c r="H16" i="69"/>
  <c r="G27" i="71"/>
  <c r="G28" i="71" s="1"/>
  <c r="E12" i="53"/>
  <c r="E21" i="54"/>
  <c r="E20" i="52"/>
  <c r="B13" i="53"/>
  <c r="B26" i="54" l="1"/>
  <c r="B29" i="63"/>
  <c r="H19" i="69"/>
  <c r="H20" i="69" s="1"/>
  <c r="H12" i="70"/>
  <c r="H21" i="71"/>
  <c r="E13" i="53"/>
  <c r="E22" i="54"/>
  <c r="E23" i="54" s="1"/>
  <c r="F6" i="52"/>
  <c r="F9" i="52" s="1"/>
  <c r="F14" i="52" s="1"/>
  <c r="F16" i="52" s="1"/>
  <c r="D8" i="81" s="1"/>
  <c r="E8" i="54"/>
  <c r="E11" i="54" s="1"/>
  <c r="E16" i="54" s="1"/>
  <c r="B27" i="54"/>
  <c r="B28" i="54" s="1"/>
  <c r="C26" i="54"/>
  <c r="E29" i="63" l="1"/>
  <c r="H13" i="70"/>
  <c r="H22" i="71"/>
  <c r="H23" i="71" s="1"/>
  <c r="H8" i="71"/>
  <c r="H11" i="71" s="1"/>
  <c r="H16" i="71" s="1"/>
  <c r="I6" i="69"/>
  <c r="I9" i="69" s="1"/>
  <c r="I14" i="69" s="1"/>
  <c r="F21" i="54"/>
  <c r="D26" i="54"/>
  <c r="C27" i="54"/>
  <c r="C28" i="54" s="1"/>
  <c r="F12" i="53"/>
  <c r="F19" i="52"/>
  <c r="F20" i="52" s="1"/>
  <c r="F8" i="54" s="1"/>
  <c r="F11" i="54" s="1"/>
  <c r="F16" i="54" s="1"/>
  <c r="H26" i="71" l="1"/>
  <c r="H30" i="63"/>
  <c r="H32" i="63"/>
  <c r="I16" i="69"/>
  <c r="H27" i="71"/>
  <c r="H28" i="71" s="1"/>
  <c r="F13" i="53"/>
  <c r="F22" i="54"/>
  <c r="F23" i="54" s="1"/>
  <c r="E26" i="54"/>
  <c r="D27" i="54"/>
  <c r="D28" i="54" s="1"/>
  <c r="G6" i="52"/>
  <c r="F29" i="63" l="1"/>
  <c r="I19" i="69"/>
  <c r="I20" i="69" s="1"/>
  <c r="I21" i="71"/>
  <c r="I12" i="70"/>
  <c r="F26" i="54"/>
  <c r="E27" i="54"/>
  <c r="E28" i="54" s="1"/>
  <c r="G9" i="52"/>
  <c r="G14" i="52" s="1"/>
  <c r="I13" i="70" l="1"/>
  <c r="I22" i="71"/>
  <c r="I23" i="71" s="1"/>
  <c r="I8" i="71"/>
  <c r="I11" i="71" s="1"/>
  <c r="I16" i="71" s="1"/>
  <c r="J6" i="69"/>
  <c r="J9" i="69" s="1"/>
  <c r="J14" i="69" s="1"/>
  <c r="F27" i="54"/>
  <c r="F28" i="54" s="1"/>
  <c r="G16" i="52"/>
  <c r="E8" i="81" s="1"/>
  <c r="I26" i="71" l="1"/>
  <c r="I27" i="71" s="1"/>
  <c r="I28" i="71" s="1"/>
  <c r="I30" i="63"/>
  <c r="I32" i="63"/>
  <c r="J16" i="69"/>
  <c r="G21" i="54"/>
  <c r="G12" i="53"/>
  <c r="G19" i="52"/>
  <c r="G20" i="52" s="1"/>
  <c r="J19" i="69" l="1"/>
  <c r="J20" i="69" s="1"/>
  <c r="J12" i="70"/>
  <c r="J21" i="71"/>
  <c r="G13" i="53"/>
  <c r="G22" i="54"/>
  <c r="G23" i="54" s="1"/>
  <c r="H6" i="52"/>
  <c r="H9" i="52" s="1"/>
  <c r="H14" i="52" s="1"/>
  <c r="H16" i="52" s="1"/>
  <c r="G8" i="54"/>
  <c r="G11" i="54" s="1"/>
  <c r="G16" i="54" s="1"/>
  <c r="G26" i="54" l="1"/>
  <c r="G29" i="63"/>
  <c r="J13" i="70"/>
  <c r="J22" i="71"/>
  <c r="J23" i="71" s="1"/>
  <c r="J8" i="71"/>
  <c r="J11" i="71" s="1"/>
  <c r="J16" i="71" s="1"/>
  <c r="K6" i="69"/>
  <c r="K9" i="69" s="1"/>
  <c r="K14" i="69" s="1"/>
  <c r="H21" i="54"/>
  <c r="G27" i="54"/>
  <c r="G28" i="54" s="1"/>
  <c r="H12" i="53"/>
  <c r="H19" i="52"/>
  <c r="H20" i="52" s="1"/>
  <c r="J26" i="71" l="1"/>
  <c r="J27" i="71" s="1"/>
  <c r="J28" i="71" s="1"/>
  <c r="J30" i="63"/>
  <c r="J32" i="63"/>
  <c r="K16" i="69"/>
  <c r="H13" i="53"/>
  <c r="H22" i="54"/>
  <c r="H23" i="54" s="1"/>
  <c r="I6" i="52"/>
  <c r="I9" i="52" s="1"/>
  <c r="I14" i="52" s="1"/>
  <c r="I16" i="52" s="1"/>
  <c r="H8" i="54"/>
  <c r="H11" i="54" s="1"/>
  <c r="H16" i="54" s="1"/>
  <c r="H26" i="54" l="1"/>
  <c r="H27" i="54" s="1"/>
  <c r="H28" i="54" s="1"/>
  <c r="H29" i="63"/>
  <c r="K19" i="69"/>
  <c r="K20" i="69" s="1"/>
  <c r="K21" i="71"/>
  <c r="K12" i="70"/>
  <c r="I19" i="52"/>
  <c r="I20" i="52" s="1"/>
  <c r="I21" i="54"/>
  <c r="I12" i="53"/>
  <c r="K13" i="70" l="1"/>
  <c r="K22" i="71"/>
  <c r="K23" i="71" s="1"/>
  <c r="K8" i="71"/>
  <c r="K11" i="71" s="1"/>
  <c r="K16" i="71" s="1"/>
  <c r="L6" i="69"/>
  <c r="L9" i="69" s="1"/>
  <c r="L14" i="69" s="1"/>
  <c r="I13" i="53"/>
  <c r="I22" i="54"/>
  <c r="I23" i="54" s="1"/>
  <c r="J6" i="52"/>
  <c r="J9" i="52" s="1"/>
  <c r="J14" i="52" s="1"/>
  <c r="J16" i="52" s="1"/>
  <c r="I8" i="54"/>
  <c r="I11" i="54" s="1"/>
  <c r="I16" i="54" s="1"/>
  <c r="I26" i="54" l="1"/>
  <c r="I29" i="63"/>
  <c r="K26" i="71"/>
  <c r="K27" i="71" s="1"/>
  <c r="K28" i="71" s="1"/>
  <c r="K30" i="63"/>
  <c r="K32" i="63"/>
  <c r="L16" i="69"/>
  <c r="I27" i="54"/>
  <c r="I28" i="54" s="1"/>
  <c r="J19" i="52"/>
  <c r="J20" i="52" s="1"/>
  <c r="J21" i="54"/>
  <c r="J12" i="53"/>
  <c r="L19" i="69" l="1"/>
  <c r="L20" i="69" s="1"/>
  <c r="L12" i="70"/>
  <c r="L21" i="71"/>
  <c r="K6" i="52"/>
  <c r="K9" i="52" s="1"/>
  <c r="K14" i="52" s="1"/>
  <c r="K16" i="52" s="1"/>
  <c r="J8" i="54"/>
  <c r="J11" i="54" s="1"/>
  <c r="J16" i="54" s="1"/>
  <c r="J13" i="53"/>
  <c r="J22" i="54"/>
  <c r="J23" i="54" s="1"/>
  <c r="J26" i="54" l="1"/>
  <c r="J27" i="54" s="1"/>
  <c r="J28" i="54" s="1"/>
  <c r="J29" i="63"/>
  <c r="L13" i="70"/>
  <c r="L22" i="71"/>
  <c r="L23" i="71" s="1"/>
  <c r="L8" i="71"/>
  <c r="L11" i="71" s="1"/>
  <c r="L16" i="71" s="1"/>
  <c r="M6" i="69"/>
  <c r="M9" i="69" s="1"/>
  <c r="M14" i="69" s="1"/>
  <c r="K19" i="52"/>
  <c r="K20" i="52" s="1"/>
  <c r="K12" i="53"/>
  <c r="K21" i="54"/>
  <c r="L26" i="71" l="1"/>
  <c r="L30" i="63"/>
  <c r="L32" i="63"/>
  <c r="M16" i="69"/>
  <c r="L27" i="71"/>
  <c r="L28" i="71" s="1"/>
  <c r="L6" i="52"/>
  <c r="L9" i="52" s="1"/>
  <c r="L14" i="52" s="1"/>
  <c r="L16" i="52" s="1"/>
  <c r="K8" i="54"/>
  <c r="K11" i="54" s="1"/>
  <c r="K16" i="54" s="1"/>
  <c r="K13" i="53"/>
  <c r="K22" i="54"/>
  <c r="K23" i="54" s="1"/>
  <c r="K26" i="54" l="1"/>
  <c r="K27" i="54" s="1"/>
  <c r="K28" i="54" s="1"/>
  <c r="K29" i="63"/>
  <c r="M17" i="69"/>
  <c r="N16" i="69"/>
  <c r="F9" i="81" s="1"/>
  <c r="M12" i="70"/>
  <c r="M18" i="69"/>
  <c r="M3" i="81" s="1"/>
  <c r="L19" i="52"/>
  <c r="L20" i="52" s="1"/>
  <c r="L12" i="53"/>
  <c r="L21" i="54"/>
  <c r="N18" i="69" l="1"/>
  <c r="M13" i="70"/>
  <c r="N12" i="70"/>
  <c r="N13" i="70" s="1"/>
  <c r="M22" i="71"/>
  <c r="N17" i="69"/>
  <c r="M21" i="71"/>
  <c r="M19" i="69"/>
  <c r="M20" i="69" s="1"/>
  <c r="L13" i="53"/>
  <c r="L22" i="54"/>
  <c r="L23" i="54" s="1"/>
  <c r="M6" i="52"/>
  <c r="M9" i="52" s="1"/>
  <c r="M14" i="52" s="1"/>
  <c r="M16" i="52" s="1"/>
  <c r="L8" i="54"/>
  <c r="L11" i="54" s="1"/>
  <c r="L16" i="54" s="1"/>
  <c r="N30" i="63" l="1"/>
  <c r="N32" i="63"/>
  <c r="L26" i="54"/>
  <c r="L29" i="63"/>
  <c r="M26" i="71"/>
  <c r="M27" i="71" s="1"/>
  <c r="M30" i="63"/>
  <c r="M32" i="63"/>
  <c r="N19" i="69"/>
  <c r="N20" i="69" s="1"/>
  <c r="M8" i="71"/>
  <c r="M11" i="71" s="1"/>
  <c r="M16" i="71" s="1"/>
  <c r="M23" i="71"/>
  <c r="L27" i="54"/>
  <c r="L28" i="54" s="1"/>
  <c r="M12" i="53"/>
  <c r="N16" i="52"/>
  <c r="F8" i="81" s="1"/>
  <c r="M18" i="52"/>
  <c r="N18" i="52" s="1"/>
  <c r="M17" i="52"/>
  <c r="M28" i="71" l="1"/>
  <c r="M13" i="53"/>
  <c r="N12" i="53"/>
  <c r="N13" i="53" s="1"/>
  <c r="M22" i="54"/>
  <c r="M19" i="52"/>
  <c r="M20" i="52" s="1"/>
  <c r="M8" i="54" s="1"/>
  <c r="M11" i="54" s="1"/>
  <c r="M16" i="54" s="1"/>
  <c r="N17" i="52"/>
  <c r="N19" i="52" s="1"/>
  <c r="N20" i="52" s="1"/>
  <c r="M21" i="54"/>
  <c r="N29" i="63" l="1"/>
  <c r="M26" i="54"/>
  <c r="M27" i="54" s="1"/>
  <c r="M29" i="63"/>
  <c r="M23" i="54"/>
  <c r="M28" i="54" l="1"/>
</calcChain>
</file>

<file path=xl/sharedStrings.xml><?xml version="1.0" encoding="utf-8"?>
<sst xmlns="http://schemas.openxmlformats.org/spreadsheetml/2006/main" count="730" uniqueCount="189">
  <si>
    <t>Sales</t>
  </si>
  <si>
    <t>Gross margin</t>
  </si>
  <si>
    <t>Less depreciation</t>
  </si>
  <si>
    <t>Cash disbursements for selling and administrative expenses</t>
  </si>
  <si>
    <t>Excess (deficiency) of cash available over disbursements</t>
  </si>
  <si>
    <t>Financing:</t>
  </si>
  <si>
    <t>Assets</t>
  </si>
  <si>
    <t>Current assets:</t>
  </si>
  <si>
    <t>Plant and equipment:</t>
  </si>
  <si>
    <t xml:space="preserve">Total assets </t>
  </si>
  <si>
    <t>Liabilities and Stockholders’ Equity</t>
  </si>
  <si>
    <t>Current liabilities:</t>
  </si>
  <si>
    <t>Stockholders’ equity:</t>
  </si>
  <si>
    <t xml:space="preserve">Total liabilities and stockholders’ equity </t>
  </si>
  <si>
    <t>Property taxes</t>
  </si>
  <si>
    <t>Sales Budget</t>
  </si>
  <si>
    <t>Schedule of Expected Cash Collections</t>
  </si>
  <si>
    <t>Collections from customers</t>
  </si>
  <si>
    <t>Selling and administrative</t>
  </si>
  <si>
    <t>Total financing</t>
  </si>
  <si>
    <t>Insurance</t>
  </si>
  <si>
    <t xml:space="preserve">Cash </t>
  </si>
  <si>
    <t xml:space="preserve">Accounts receivable </t>
  </si>
  <si>
    <t xml:space="preserve">Total current assets </t>
  </si>
  <si>
    <t xml:space="preserve">Buildings and equipment </t>
  </si>
  <si>
    <t xml:space="preserve">Accumulated depreciation </t>
  </si>
  <si>
    <t xml:space="preserve">Plant and equipment, net </t>
  </si>
  <si>
    <t xml:space="preserve">Retained earnings </t>
  </si>
  <si>
    <t xml:space="preserve">Total stockholders’ equity </t>
  </si>
  <si>
    <t>Total needs</t>
  </si>
  <si>
    <t>Advertising</t>
  </si>
  <si>
    <t>Executive salaries</t>
  </si>
  <si>
    <t>Depreciation</t>
  </si>
  <si>
    <t>Cash Budget</t>
  </si>
  <si>
    <t>Total cash available</t>
  </si>
  <si>
    <t>Selling and administrative expenses</t>
  </si>
  <si>
    <t>Interest expense</t>
  </si>
  <si>
    <t>Net operating Income</t>
  </si>
  <si>
    <t>Net Income</t>
  </si>
  <si>
    <t>Repayments (at end of the year)</t>
  </si>
  <si>
    <t>Variable selling and administrative expense</t>
  </si>
  <si>
    <t>Fixed selling and administrative expenses:</t>
  </si>
  <si>
    <t>Total fixed selling and administrative expenses</t>
  </si>
  <si>
    <t>Total selling and administrative expenses</t>
  </si>
  <si>
    <t xml:space="preserve"> </t>
  </si>
  <si>
    <t>Property tax</t>
  </si>
  <si>
    <t>Balance Sheet</t>
  </si>
  <si>
    <t>Total current assets</t>
  </si>
  <si>
    <t>Plant and equipment, net</t>
  </si>
  <si>
    <t>Total assets</t>
  </si>
  <si>
    <t>Stockholders' equity:</t>
  </si>
  <si>
    <t>Total stockholders' equity</t>
  </si>
  <si>
    <t>Total liabilities and stockholders' equity</t>
  </si>
  <si>
    <t>Total</t>
  </si>
  <si>
    <t>Minimum cash balance</t>
  </si>
  <si>
    <t>Liabilities and Stockholders' Equity</t>
  </si>
  <si>
    <t xml:space="preserve">  Cash</t>
  </si>
  <si>
    <t xml:space="preserve">  Buildings and equipment</t>
  </si>
  <si>
    <t xml:space="preserve">  Accumulated depreciation</t>
  </si>
  <si>
    <t xml:space="preserve">  Accounts payable</t>
  </si>
  <si>
    <t xml:space="preserve">  Common stock</t>
  </si>
  <si>
    <t xml:space="preserve">  Retained earnings</t>
  </si>
  <si>
    <t>Budgeting Assumptions</t>
  </si>
  <si>
    <t>Cost of goods sold</t>
  </si>
  <si>
    <t>Beginning cash balance</t>
  </si>
  <si>
    <t>Add cash receipts:</t>
  </si>
  <si>
    <t>Less cash disbursements:</t>
  </si>
  <si>
    <t>Total cash disbursements</t>
  </si>
  <si>
    <t>Ending cash balance</t>
  </si>
  <si>
    <t>Selling price per unit</t>
  </si>
  <si>
    <t>Total cash collections</t>
  </si>
  <si>
    <t>Budgeted unit sales</t>
  </si>
  <si>
    <t>Variable selling and administrative expense per unit</t>
  </si>
  <si>
    <t>(Absorption costing basis)</t>
  </si>
  <si>
    <t xml:space="preserve">  Accounts receivable</t>
  </si>
  <si>
    <t>Merchandise Purchases Budget</t>
  </si>
  <si>
    <t xml:space="preserve">  Merchandise inventory</t>
  </si>
  <si>
    <t>Williams Company</t>
  </si>
  <si>
    <t>Beginning of the Year</t>
  </si>
  <si>
    <t>All 12 Months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</si>
  <si>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</si>
  <si>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</si>
  <si>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</si>
  <si>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</si>
  <si>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</si>
  <si>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</si>
  <si>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</si>
  <si>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</si>
  <si>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</si>
  <si>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</si>
  <si>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</si>
  <si>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</si>
  <si>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Fixed selling and administrative expense per month:</t>
  </si>
  <si>
    <t>Percentage of sales that are collected in the month of sale</t>
  </si>
  <si>
    <t>Percentage of sales that are collected in the month after sale</t>
  </si>
  <si>
    <t>For This Year</t>
  </si>
  <si>
    <t>Sales Budget:</t>
  </si>
  <si>
    <t>Merchandise Purchases Budget:</t>
  </si>
  <si>
    <t>Selling and Administrative Expense Budget:</t>
  </si>
  <si>
    <t xml:space="preserve">May </t>
  </si>
  <si>
    <t>Cash collections from prior month's sales</t>
  </si>
  <si>
    <t>Cash collections from current month's sales</t>
  </si>
  <si>
    <t>Percentage of next month's cost of goods sold in ending merchandise inventory</t>
  </si>
  <si>
    <t>Cost of goods sold as a percent of sales</t>
  </si>
  <si>
    <t>Percentage of merchandise purchases that are paid for in the month of purchase</t>
  </si>
  <si>
    <t>Percentage of merchandise purchases that are paid for in the month after purchase</t>
  </si>
  <si>
    <t>Budgeted cost of goods sold</t>
  </si>
  <si>
    <t>Add desired ending merchandise inventory</t>
  </si>
  <si>
    <t>Less beginning merchandise inventory</t>
  </si>
  <si>
    <t>Required merchandise purchases</t>
  </si>
  <si>
    <t>Cash disbursements related to prior month's purchases</t>
  </si>
  <si>
    <t>Cash disbursements related to current month's purchases</t>
  </si>
  <si>
    <t>Total cash disbursements for merchandise purchases</t>
  </si>
  <si>
    <t>Schedule of Expected Cash Disbursements for Merchandise Purchases</t>
  </si>
  <si>
    <t>Budgeted units sales</t>
  </si>
  <si>
    <t>Merchandise purchases</t>
  </si>
  <si>
    <t>Simple interest rate per month</t>
  </si>
  <si>
    <t>Borrowings (at the beginnings of months)</t>
  </si>
  <si>
    <t>Interest (at 1% per month)</t>
  </si>
  <si>
    <t>Budgeted Income Statements</t>
  </si>
  <si>
    <t>Budgeted Balance Sheets</t>
  </si>
  <si>
    <t>For Each Month This Year</t>
  </si>
  <si>
    <t xml:space="preserve">Merchandise inventory </t>
  </si>
  <si>
    <t xml:space="preserve">Accounts payable </t>
  </si>
  <si>
    <t xml:space="preserve">Common stock </t>
  </si>
  <si>
    <t>Total liabilities</t>
  </si>
  <si>
    <t>Short-term note payable</t>
  </si>
  <si>
    <t>Interest payable</t>
  </si>
  <si>
    <t>December ending inventory based on assumption of January sales = $88,000</t>
  </si>
  <si>
    <t>Data Analytics Budgeting</t>
  </si>
  <si>
    <t>Master Budget</t>
  </si>
  <si>
    <t>Selling &amp; Admin Budget</t>
  </si>
  <si>
    <t>Flexible Budget</t>
  </si>
  <si>
    <t>Actual Results</t>
  </si>
  <si>
    <t>Beginning Balance Sheet</t>
  </si>
  <si>
    <t>Tab Colors</t>
  </si>
  <si>
    <t>Actual</t>
  </si>
  <si>
    <t>Actual Income Statements</t>
  </si>
  <si>
    <t>Actual Balance Sheets</t>
  </si>
  <si>
    <t>Actual unit sales</t>
  </si>
  <si>
    <t>Sales Data:</t>
  </si>
  <si>
    <t>Master Budget Assumptions</t>
  </si>
  <si>
    <t>Sales Master Budget</t>
  </si>
  <si>
    <t>Sales Flexible Budget</t>
  </si>
  <si>
    <t>Merchandise Purchases Master Budget</t>
  </si>
  <si>
    <t>Merchandise Purchases Flexible Budget</t>
  </si>
  <si>
    <t>Selling and Administrative Expense Master Budget</t>
  </si>
  <si>
    <t>Selling and Administrative Expense Flexible Budget</t>
  </si>
  <si>
    <t>Cash Master Budget</t>
  </si>
  <si>
    <t>Cash Flexible Budget</t>
  </si>
  <si>
    <t>Requirement 8a:</t>
  </si>
  <si>
    <t>Requirement 8b:</t>
  </si>
  <si>
    <t>Master budget: gross margin</t>
  </si>
  <si>
    <t>Flexible budget: gross margin</t>
  </si>
  <si>
    <t>Actual gross margin</t>
  </si>
  <si>
    <t>Actual selling and administrative expense</t>
  </si>
  <si>
    <t>Actual Cash Flows</t>
  </si>
  <si>
    <t>Budgeted selling price per unit</t>
  </si>
  <si>
    <t>Actual average selling price per unit</t>
  </si>
  <si>
    <t xml:space="preserve"> Total</t>
  </si>
  <si>
    <t>Requirement 8c:</t>
  </si>
  <si>
    <t>Requirement 8d:</t>
  </si>
  <si>
    <t>Master budget: net income</t>
  </si>
  <si>
    <t>Flexible budget: net income</t>
  </si>
  <si>
    <t>Actual net income</t>
  </si>
  <si>
    <t>Flexible budget: net profit margin percentage</t>
  </si>
  <si>
    <t>Actual net profit margin percentage</t>
  </si>
  <si>
    <t>Requirement 9a:</t>
  </si>
  <si>
    <t>Requirement 9b:</t>
  </si>
  <si>
    <t>Master budget: borrowings</t>
  </si>
  <si>
    <t>Flexible budget: borrowings</t>
  </si>
  <si>
    <t>Actual borrowings</t>
  </si>
  <si>
    <t>Requirement 9c:</t>
  </si>
  <si>
    <t>Budget: accounts receivable as a percent of sales</t>
  </si>
  <si>
    <t>Actual: accounts receivable as a percent of sales</t>
  </si>
  <si>
    <t>Flexible budget: cumulative operating cash flows</t>
  </si>
  <si>
    <t>Actual: cumulative operating cash flows</t>
  </si>
  <si>
    <t>Flexible Budget Inputs (Based on Actual Unit Sales)</t>
  </si>
  <si>
    <t>Master Budget: Income Statements</t>
  </si>
  <si>
    <t>Flexible Budget: Income Statements</t>
  </si>
  <si>
    <t>Master Budget: Balance Sheets</t>
  </si>
  <si>
    <t>Flexible Budget: Balance Sheets</t>
  </si>
  <si>
    <t>Actual units sales</t>
  </si>
  <si>
    <t>Master - Variable selling and administrative expense</t>
  </si>
  <si>
    <t>Master - Fixed selling and administrative expense</t>
  </si>
  <si>
    <t>Master - Total selling and administrative expense</t>
  </si>
  <si>
    <t>Flexible - Variable selling and administrative expense</t>
  </si>
  <si>
    <t>Flexible - Fixed selling and administrative expense</t>
  </si>
  <si>
    <t>Flexible - Total selling and administrative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</si>
</sst>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_(* #,##0_);_(* \(#,##0\);_(* &quot;-&quot;??_);_(@_)"/>
    <numFmt numFmtId="167" formatCode="mmmm\ d\,\ yyyy"/>
    <numFmt numFmtId="168" formatCode="0.0%"/>
    <numFmt numFmtId="169" formatCode="_(&quot;$&quot;* #,##0.0_);_(&quot;$&quot;* \(#,##0.0\);_(&quot;$&quot;* &quot;-&quot;??_);_(@_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u val="singleAccounting"/>
      <sz val="12"/>
      <name val="Arial"/>
      <family val="2"/>
    </font>
    <font>
      <u val="doubleAccounting"/>
      <sz val="12"/>
      <name val="Arial"/>
      <family val="2"/>
    </font>
    <font>
      <sz val="10"/>
      <color rgb="FF0070C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u val="singleAccounting"/>
      <sz val="10"/>
      <name val="Arial"/>
      <family val="2"/>
    </font>
    <font>
      <u val="doubleAccounting"/>
      <sz val="10"/>
      <name val="Arial"/>
      <family val="2"/>
    </font>
    <font>
      <sz val="14"/>
      <color theme="1"/>
      <name val="Symbol"/>
      <family val="1"/>
      <charset val="2"/>
    </font>
    <font>
      <sz val="14"/>
      <color theme="1"/>
      <name val="Courier New"/>
      <family val="3"/>
    </font>
    <font>
      <sz val="14"/>
      <color theme="1"/>
      <name val="Wingdings"/>
      <charset val="2"/>
    </font>
    <font>
      <sz val="14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" fillId="0" borderId="0"/>
  </cellStyleXfs>
  <cellXfs count="87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166" fontId="3" fillId="0" borderId="0" xfId="1" applyNumberFormat="1" applyFont="1" applyBorder="1" applyAlignment="1">
      <alignment horizontal="right"/>
    </xf>
    <xf numFmtId="164" fontId="7" fillId="0" borderId="0" xfId="2" applyNumberFormat="1" applyFont="1" applyBorder="1" applyAlignment="1">
      <alignment horizontal="right"/>
    </xf>
    <xf numFmtId="164" fontId="3" fillId="0" borderId="0" xfId="2" applyNumberFormat="1" applyFont="1" applyBorder="1" applyAlignment="1">
      <alignment horizontal="right"/>
    </xf>
    <xf numFmtId="165" fontId="3" fillId="0" borderId="0" xfId="0" applyNumberFormat="1" applyFont="1"/>
    <xf numFmtId="164" fontId="3" fillId="0" borderId="0" xfId="0" applyNumberFormat="1" applyFont="1"/>
    <xf numFmtId="166" fontId="6" fillId="0" borderId="0" xfId="1" applyNumberFormat="1" applyFont="1" applyBorder="1" applyAlignment="1">
      <alignment horizontal="right"/>
    </xf>
    <xf numFmtId="166" fontId="6" fillId="0" borderId="0" xfId="1" applyNumberFormat="1" applyFont="1" applyBorder="1"/>
    <xf numFmtId="0" fontId="3" fillId="0" borderId="0" xfId="0" applyFont="1" applyAlignment="1">
      <alignment horizontal="center"/>
    </xf>
    <xf numFmtId="164" fontId="3" fillId="0" borderId="0" xfId="2" applyNumberFormat="1" applyFont="1" applyBorder="1"/>
    <xf numFmtId="164" fontId="6" fillId="0" borderId="0" xfId="2" applyNumberFormat="1" applyFont="1" applyBorder="1" applyAlignment="1">
      <alignment horizontal="right"/>
    </xf>
    <xf numFmtId="166" fontId="6" fillId="0" borderId="0" xfId="1" applyNumberFormat="1" applyFont="1" applyFill="1" applyBorder="1" applyAlignment="1">
      <alignment horizontal="right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/>
    </xf>
    <xf numFmtId="164" fontId="7" fillId="0" borderId="0" xfId="2" applyNumberFormat="1" applyFont="1" applyBorder="1"/>
    <xf numFmtId="0" fontId="4" fillId="0" borderId="0" xfId="0" applyFont="1" applyAlignment="1">
      <alignment horizontal="center"/>
    </xf>
    <xf numFmtId="164" fontId="3" fillId="0" borderId="0" xfId="2" applyNumberFormat="1" applyFont="1"/>
    <xf numFmtId="166" fontId="6" fillId="0" borderId="0" xfId="0" applyNumberFormat="1" applyFont="1"/>
    <xf numFmtId="164" fontId="3" fillId="0" borderId="0" xfId="2" applyNumberFormat="1" applyFont="1" applyFill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15" fontId="3" fillId="0" borderId="0" xfId="0" applyNumberFormat="1" applyFont="1"/>
    <xf numFmtId="0" fontId="5" fillId="0" borderId="0" xfId="0" applyFont="1"/>
    <xf numFmtId="14" fontId="5" fillId="0" borderId="0" xfId="0" applyNumberFormat="1" applyFont="1"/>
    <xf numFmtId="166" fontId="3" fillId="0" borderId="0" xfId="1" applyNumberFormat="1" applyFont="1"/>
    <xf numFmtId="164" fontId="7" fillId="0" borderId="0" xfId="2" applyNumberFormat="1" applyFont="1"/>
    <xf numFmtId="0" fontId="5" fillId="0" borderId="0" xfId="0" applyFont="1" applyAlignment="1">
      <alignment horizontal="center" wrapText="1"/>
    </xf>
    <xf numFmtId="44" fontId="3" fillId="0" borderId="0" xfId="2" applyFont="1"/>
    <xf numFmtId="9" fontId="3" fillId="0" borderId="0" xfId="3" applyFont="1"/>
    <xf numFmtId="166" fontId="0" fillId="0" borderId="0" xfId="1" applyNumberFormat="1" applyFont="1"/>
    <xf numFmtId="166" fontId="6" fillId="0" borderId="0" xfId="1" applyNumberFormat="1" applyFont="1"/>
    <xf numFmtId="0" fontId="8" fillId="0" borderId="0" xfId="0" applyFont="1" applyAlignment="1">
      <alignment horizontal="center"/>
    </xf>
    <xf numFmtId="0" fontId="2" fillId="0" borderId="0" xfId="0" applyFont="1"/>
    <xf numFmtId="166" fontId="3" fillId="0" borderId="0" xfId="0" applyNumberFormat="1" applyFont="1"/>
    <xf numFmtId="164" fontId="0" fillId="0" borderId="0" xfId="2" applyNumberFormat="1" applyFont="1"/>
    <xf numFmtId="0" fontId="5" fillId="0" borderId="0" xfId="0" quotePrefix="1" applyFont="1" applyAlignment="1">
      <alignment horizontal="center"/>
    </xf>
    <xf numFmtId="0" fontId="9" fillId="0" borderId="0" xfId="0" applyFont="1" applyAlignment="1">
      <alignment horizontal="center"/>
    </xf>
    <xf numFmtId="167" fontId="4" fillId="0" borderId="0" xfId="0" applyNumberFormat="1" applyFont="1" applyAlignment="1">
      <alignment horizontal="center"/>
    </xf>
    <xf numFmtId="9" fontId="3" fillId="0" borderId="0" xfId="0" applyNumberFormat="1" applyFont="1"/>
    <xf numFmtId="164" fontId="7" fillId="0" borderId="0" xfId="2" applyNumberFormat="1" applyFont="1" applyBorder="1" applyAlignment="1">
      <alignment horizontal="right" vertical="top"/>
    </xf>
    <xf numFmtId="9" fontId="0" fillId="0" borderId="0" xfId="3" applyFont="1"/>
    <xf numFmtId="2" fontId="3" fillId="0" borderId="0" xfId="0" applyNumberFormat="1" applyFont="1"/>
    <xf numFmtId="0" fontId="9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11" fillId="2" borderId="0" xfId="0" applyFont="1" applyFill="1"/>
    <xf numFmtId="0" fontId="0" fillId="2" borderId="5" xfId="0" applyFill="1" applyBorder="1"/>
    <xf numFmtId="0" fontId="0" fillId="2" borderId="0" xfId="0" applyFill="1"/>
    <xf numFmtId="0" fontId="10" fillId="2" borderId="0" xfId="0" applyFont="1" applyFill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12" fillId="2" borderId="0" xfId="4" applyFill="1" applyBorder="1"/>
    <xf numFmtId="0" fontId="12" fillId="2" borderId="0" xfId="4" applyFill="1" applyBorder="1" applyAlignment="1">
      <alignment horizontal="left" indent="3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13" fillId="0" borderId="0" xfId="0" applyFont="1"/>
    <xf numFmtId="166" fontId="14" fillId="0" borderId="0" xfId="1" applyNumberFormat="1" applyFont="1"/>
    <xf numFmtId="164" fontId="15" fillId="0" borderId="0" xfId="2" applyNumberFormat="1" applyFont="1"/>
    <xf numFmtId="164" fontId="0" fillId="0" borderId="0" xfId="0" applyNumberFormat="1"/>
    <xf numFmtId="164" fontId="2" fillId="0" borderId="0" xfId="0" applyNumberFormat="1" applyFont="1"/>
    <xf numFmtId="164" fontId="14" fillId="0" borderId="0" xfId="0" applyNumberFormat="1" applyFont="1"/>
    <xf numFmtId="44" fontId="0" fillId="0" borderId="0" xfId="0" applyNumberFormat="1"/>
    <xf numFmtId="44" fontId="0" fillId="0" borderId="0" xfId="2" applyFont="1"/>
    <xf numFmtId="168" fontId="0" fillId="0" borderId="0" xfId="3" applyNumberFormat="1" applyFont="1"/>
    <xf numFmtId="10" fontId="0" fillId="0" borderId="0" xfId="3" applyNumberFormat="1" applyFont="1"/>
    <xf numFmtId="169" fontId="0" fillId="0" borderId="0" xfId="2" applyNumberFormat="1" applyFont="1"/>
    <xf numFmtId="164" fontId="14" fillId="0" borderId="0" xfId="2" applyNumberFormat="1" applyFont="1"/>
    <xf numFmtId="166" fontId="2" fillId="0" borderId="0" xfId="0" applyNumberFormat="1" applyFont="1"/>
    <xf numFmtId="164" fontId="6" fillId="0" borderId="0" xfId="2" applyNumberFormat="1" applyFont="1"/>
    <xf numFmtId="0" fontId="16" fillId="0" borderId="0" xfId="5" applyFont="1" applyAlignment="1">
      <alignment horizontal="left" vertical="center" indent="5"/>
    </xf>
    <xf numFmtId="0" fontId="1" fillId="0" borderId="0" xfId="5"/>
    <xf numFmtId="0" fontId="17" fillId="0" borderId="0" xfId="5" applyFont="1" applyAlignment="1">
      <alignment horizontal="left" vertical="center" indent="10"/>
    </xf>
    <xf numFmtId="0" fontId="18" fillId="0" borderId="0" xfId="5" applyFont="1" applyAlignment="1">
      <alignment horizontal="left" vertical="center" indent="15"/>
    </xf>
    <xf numFmtId="0" fontId="16" fillId="0" borderId="0" xfId="5" applyFont="1" applyAlignment="1">
      <alignment horizontal="left" vertical="center" indent="15"/>
    </xf>
    <xf numFmtId="0" fontId="19" fillId="0" borderId="0" xfId="5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5" fontId="4" fillId="0" borderId="0" xfId="0" quotePrefix="1" applyNumberFormat="1" applyFont="1" applyAlignment="1">
      <alignment horizontal="center"/>
    </xf>
    <xf numFmtId="0" fontId="9" fillId="0" borderId="0" xfId="0" applyFont="1" applyAlignment="1">
      <alignment horizontal="center"/>
    </xf>
    <xf numFmtId="167" fontId="4" fillId="0" borderId="0" xfId="0" applyNumberFormat="1" applyFont="1" applyAlignment="1">
      <alignment horizontal="center"/>
    </xf>
    <xf numFmtId="9" fontId="0" fillId="0" borderId="0" xfId="2" applyNumberFormat="1" applyFont="1"/>
    <xf numFmtId="2" fontId="0" fillId="0" borderId="0" xfId="2" applyNumberFormat="1" applyFont="1"/>
  </cellXfs>
  <cellStyles count="6">
    <cellStyle name="Comma" xfId="1" builtinId="3"/>
    <cellStyle name="Currency" xfId="2" builtinId="4"/>
    <cellStyle name="Hyperlink" xfId="4" builtinId="8"/>
    <cellStyle name="Normal" xfId="0" builtinId="0"/>
    <cellStyle name="Normal 2" xfId="5" xr:uid="{D2FA3E75-35EC-4F04-B804-0119AE7AAB45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428624</xdr:colOff>
      <xdr:row>59</xdr:row>
      <xdr:rowOff>85725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334727B-A530-47B9-8E3C-32E9D68C8D76}"/>
            </a:ext>
          </a:extLst>
        </xdr:cNvPr>
        <xdr:cNvSpPr txBox="1"/>
      </xdr:nvSpPr>
      <xdr:spPr>
        <a:xfrm>
          <a:off x="0" y="0"/>
          <a:ext cx="7134224" cy="117538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Charts: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Charts are a way to easily visualize your data sets in order to present findings or to gain further insights.</a:t>
          </a: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There are a wide variety of chart types that you can utilize in Microsoft Excel.  The most common types used are bar/column charts to show comparisons of values and line charts to show trends.  Below is an example of how to set up a chart: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457200" algn="l"/>
            </a:tabLs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The first step is to select the data you would like to chart out.  In general, you want to format your data in a way that you have column headers like days and then row headers such as your cost or company.  See the below as an example: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457200" algn="l"/>
            </a:tabLs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457200" algn="l"/>
            </a:tabLs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marR="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 startAt="2"/>
            <a:tabLst>
              <a:tab pos="457200" algn="l"/>
            </a:tabLs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Highlight the data you what to create a chart of: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 startAt="2"/>
            <a:tabLst>
              <a:tab pos="457200" algn="l"/>
            </a:tabLs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 startAt="2"/>
            <a:tabLst>
              <a:tab pos="457200" algn="l"/>
            </a:tabLs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 startAt="2"/>
            <a:tabLst>
              <a:tab pos="457200" algn="l"/>
            </a:tabLs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 startAt="2"/>
            <a:tabLst>
              <a:tab pos="457200" algn="l"/>
            </a:tabLs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 startAt="3"/>
            <a:tabLst>
              <a:tab pos="457200" algn="l"/>
            </a:tabLs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Go to the “Insert” tab and you will see a section titled “Charts”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 startAt="3"/>
            <a:tabLst>
              <a:tab pos="457200" algn="l"/>
            </a:tabLs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Click on “Recommended Charts”, which will generate an “Insert Chart” window</a:t>
          </a:r>
        </a:p>
        <a:p>
          <a:pPr marL="742950" marR="0" lvl="1" indent="-28575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lphaLcPeriod"/>
            <a:tabLst>
              <a:tab pos="914400" algn="l"/>
            </a:tabLs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Within this window you have two tabs: “Recommended Charts” and “All Charts”</a:t>
          </a:r>
        </a:p>
        <a:p>
          <a:pPr marL="1143000" marR="0" lvl="2" indent="-2286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1371600" algn="l"/>
            </a:tabLs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The “Recommended Charts” tab will give you several charts that are recommended for the specific data set you have chosen</a:t>
          </a:r>
        </a:p>
        <a:p>
          <a:pPr marL="1143000" marR="0" lvl="2" indent="-2286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1371600" algn="l"/>
            </a:tabLs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The “All Charts” tab will let you dictate the type of chart you want.  You will see that on this tab, the left-hand side shows all the different chart types and as you click on them you will see the right-hand pane generate the different subtypes of charts available for that group.</a:t>
          </a:r>
        </a:p>
        <a:p>
          <a:pPr marL="742950" marR="0" lvl="1" indent="-28575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lphaLcPeriod"/>
            <a:tabLst>
              <a:tab pos="914400" algn="l"/>
            </a:tabLs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On the “All Charts” tab, choose the “Line” option from the left-hand pane</a:t>
          </a:r>
        </a:p>
        <a:p>
          <a:pPr marL="1143000" marR="0" lvl="2" indent="-2286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1371600" algn="l"/>
            </a:tabLs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On the right-hand side look through the various options.  If we want to show a trend line with the data points marked, we would choose the option titled “Line with Markers”.  Chose this option and click “OK”</a:t>
          </a:r>
        </a:p>
        <a:p>
          <a:pPr marL="1143000" marR="0" lvl="2" indent="-2286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1371600" algn="l"/>
            </a:tabLs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The below chart will generate</a:t>
          </a:r>
        </a:p>
        <a:p>
          <a:pPr marL="1143000" marR="0" lvl="2" indent="-2286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1371600" algn="l"/>
            </a:tabLs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1143000" marR="0" lvl="2" indent="-2286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1371600" algn="l"/>
            </a:tabLs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1143000" marR="0" lvl="2" indent="-2286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1371600" algn="l"/>
            </a:tabLs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1143000" marR="0" lvl="2" indent="-2286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1371600" algn="l"/>
            </a:tabLs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1143000" marR="0" lvl="2" indent="-2286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1371600" algn="l"/>
            </a:tabLs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1143000" marR="0" lvl="2" indent="-2286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1371600" algn="l"/>
            </a:tabLs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1143000" marR="0" lvl="2" indent="-2286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1371600" algn="l"/>
            </a:tabLs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1143000" marR="0" lvl="2" indent="-2286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1371600" algn="l"/>
            </a:tabLs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1143000" marR="0" lvl="2" indent="-2286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1371600" algn="l"/>
            </a:tabLs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 startAt="5"/>
            <a:tabLst>
              <a:tab pos="457200" algn="l"/>
            </a:tabLs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You will see here that this is a default chart.  You can make many changes such as the following:</a:t>
          </a:r>
        </a:p>
        <a:p>
          <a:pPr marL="742950" marR="0" lvl="1" indent="-28575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lphaLcPeriod"/>
            <a:tabLst>
              <a:tab pos="914400" algn="l"/>
            </a:tabLs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Double click in the “Chart Title” and add your own chart name</a:t>
          </a:r>
        </a:p>
        <a:p>
          <a:pPr marL="742950" marR="0" lvl="1" indent="-28575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lphaLcPeriod"/>
            <a:tabLst>
              <a:tab pos="914400" algn="l"/>
            </a:tabLs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You can right click on either the X (here Day 1, Day 2,….) or Y (here 0-100) axes and click “Format Axis” pane will generate giving you a plethora of options to modify the axes</a:t>
          </a:r>
        </a:p>
        <a:p>
          <a:pPr marL="742950" marR="0" lvl="1" indent="-28575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lphaLcPeriod"/>
            <a:tabLst>
              <a:tab pos="914400" algn="l"/>
            </a:tabLs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Another set of easy tools is to click on the chart and within the “Chart Design” ribbon click on “Add Chart Element” within the “Chart Layouts” section</a:t>
          </a:r>
        </a:p>
        <a:p>
          <a:pPr marL="1143000" marR="0" lvl="2" indent="-2286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1371600" algn="l"/>
            </a:tabLs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Within this section you can add titles to the axes, add other labels, create legends, etc.</a:t>
          </a:r>
        </a:p>
        <a:p>
          <a:endParaRPr lang="en-US" sz="1100"/>
        </a:p>
      </xdr:txBody>
    </xdr:sp>
    <xdr:clientData/>
  </xdr:twoCellAnchor>
  <xdr:twoCellAnchor editAs="oneCell">
    <xdr:from>
      <xdr:col>1</xdr:col>
      <xdr:colOff>552450</xdr:colOff>
      <xdr:row>14</xdr:row>
      <xdr:rowOff>19050</xdr:rowOff>
    </xdr:from>
    <xdr:to>
      <xdr:col>6</xdr:col>
      <xdr:colOff>171450</xdr:colOff>
      <xdr:row>19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21DEF98-CBEC-4FFB-B7CA-2EAFE33904F1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050" y="3114675"/>
          <a:ext cx="2667000" cy="105727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7</xdr:row>
      <xdr:rowOff>76200</xdr:rowOff>
    </xdr:from>
    <xdr:to>
      <xdr:col>11</xdr:col>
      <xdr:colOff>66674</xdr:colOff>
      <xdr:row>12</xdr:row>
      <xdr:rowOff>38100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21E8675-3BA8-43F7-86BC-984E4600F65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1724025"/>
          <a:ext cx="5457824" cy="1028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462803</xdr:colOff>
      <xdr:row>36</xdr:row>
      <xdr:rowOff>79562</xdr:rowOff>
    </xdr:from>
    <xdr:to>
      <xdr:col>7</xdr:col>
      <xdr:colOff>57710</xdr:colOff>
      <xdr:row>48</xdr:row>
      <xdr:rowOff>127187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94664F8-7BC0-45BF-914F-537340CE38D8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403" y="7366187"/>
          <a:ext cx="3252507" cy="233362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arrison%20book\GNB%2017e\Data%20analytics%20exercises\Exercise%20DA-20%20(Flex%20Budget)\DA-20%20template%20actual%20resul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Launch Page"/>
      <sheetName val="Beginning Balance Sheet"/>
      <sheetName val="Actual inputs"/>
      <sheetName val="F-Sales Budget"/>
      <sheetName val="F-Merchandise Purchases Budget"/>
      <sheetName val="F-Selling &amp; Admin Budget"/>
      <sheetName val="F-Cash Budget"/>
      <sheetName val="F-Budgeted Income Statements"/>
      <sheetName val="F-Budgeted Balance Sheets"/>
    </sheetNames>
    <sheetDataSet>
      <sheetData sheetId="0" refreshError="1"/>
      <sheetData sheetId="1">
        <row r="7">
          <cell r="B7">
            <v>68000</v>
          </cell>
        </row>
        <row r="12">
          <cell r="B12">
            <v>900000</v>
          </cell>
        </row>
        <row r="13">
          <cell r="B13">
            <v>-292000</v>
          </cell>
        </row>
        <row r="21">
          <cell r="B21">
            <v>253000</v>
          </cell>
        </row>
        <row r="22">
          <cell r="B22">
            <v>476200</v>
          </cell>
        </row>
      </sheetData>
      <sheetData sheetId="2">
        <row r="10">
          <cell r="B10">
            <v>0.82000000000000006</v>
          </cell>
          <cell r="C10">
            <v>0.82000000000000006</v>
          </cell>
          <cell r="D10">
            <v>0.83</v>
          </cell>
          <cell r="E10">
            <v>0.83</v>
          </cell>
          <cell r="F10">
            <v>0.83499999999999996</v>
          </cell>
          <cell r="G10">
            <v>0.83499999999999996</v>
          </cell>
          <cell r="H10">
            <v>0.84</v>
          </cell>
          <cell r="I10">
            <v>0.84</v>
          </cell>
          <cell r="J10">
            <v>0.84</v>
          </cell>
          <cell r="K10">
            <v>0.83</v>
          </cell>
          <cell r="L10">
            <v>0.82000000000000006</v>
          </cell>
          <cell r="M10">
            <v>0.82499999999999996</v>
          </cell>
        </row>
        <row r="13">
          <cell r="B13">
            <v>0.61</v>
          </cell>
          <cell r="C13">
            <v>0.60799999999999998</v>
          </cell>
          <cell r="D13">
            <v>0.59299999999999997</v>
          </cell>
          <cell r="E13">
            <v>0.56999999999999995</v>
          </cell>
          <cell r="F13">
            <v>0.56000000000000005</v>
          </cell>
          <cell r="G13">
            <v>0.55000000000000004</v>
          </cell>
          <cell r="H13">
            <v>0.55000000000000004</v>
          </cell>
          <cell r="I13">
            <v>0.55000000000000004</v>
          </cell>
          <cell r="J13">
            <v>0.55000000000000004</v>
          </cell>
          <cell r="K13">
            <v>0.55000000000000004</v>
          </cell>
          <cell r="L13">
            <v>0.55500000000000005</v>
          </cell>
          <cell r="M13">
            <v>0.59299999999999997</v>
          </cell>
        </row>
        <row r="16">
          <cell r="B16">
            <v>0.85</v>
          </cell>
          <cell r="C16">
            <v>0.86</v>
          </cell>
          <cell r="D16">
            <v>0.85499999999999998</v>
          </cell>
          <cell r="E16">
            <v>0.84</v>
          </cell>
          <cell r="F16">
            <v>0.84499999999999997</v>
          </cell>
          <cell r="G16">
            <v>0.83</v>
          </cell>
          <cell r="H16">
            <v>0.82000000000000006</v>
          </cell>
          <cell r="I16">
            <v>0.86</v>
          </cell>
          <cell r="J16">
            <v>0.86499999999999999</v>
          </cell>
          <cell r="K16">
            <v>0.87</v>
          </cell>
          <cell r="L16">
            <v>0.875</v>
          </cell>
          <cell r="M16">
            <v>0.88</v>
          </cell>
        </row>
        <row r="25">
          <cell r="B25">
            <v>8000</v>
          </cell>
          <cell r="C25">
            <v>8000</v>
          </cell>
          <cell r="D25">
            <v>8000</v>
          </cell>
          <cell r="E25">
            <v>8000</v>
          </cell>
          <cell r="F25">
            <v>8000</v>
          </cell>
          <cell r="G25">
            <v>8000</v>
          </cell>
          <cell r="H25">
            <v>8000</v>
          </cell>
          <cell r="I25">
            <v>8000</v>
          </cell>
          <cell r="J25">
            <v>8000</v>
          </cell>
          <cell r="K25">
            <v>8000</v>
          </cell>
          <cell r="L25">
            <v>8000</v>
          </cell>
          <cell r="M25">
            <v>8000</v>
          </cell>
        </row>
      </sheetData>
      <sheetData sheetId="3">
        <row r="8">
          <cell r="B8">
            <v>67200</v>
          </cell>
          <cell r="C8">
            <v>49800</v>
          </cell>
          <cell r="D8">
            <v>76500</v>
          </cell>
          <cell r="E8">
            <v>88000</v>
          </cell>
          <cell r="F8">
            <v>106800</v>
          </cell>
          <cell r="G8">
            <v>256500</v>
          </cell>
          <cell r="H8">
            <v>299250</v>
          </cell>
          <cell r="I8">
            <v>312750</v>
          </cell>
          <cell r="J8">
            <v>210600</v>
          </cell>
          <cell r="K8">
            <v>163800</v>
          </cell>
          <cell r="L8">
            <v>106800</v>
          </cell>
          <cell r="M8">
            <v>76500</v>
          </cell>
        </row>
        <row r="15">
          <cell r="B15">
            <v>92096</v>
          </cell>
          <cell r="C15">
            <v>64068.000000000007</v>
          </cell>
          <cell r="D15">
            <v>53841</v>
          </cell>
          <cell r="E15">
            <v>78455</v>
          </cell>
          <cell r="F15">
            <v>90662</v>
          </cell>
          <cell r="G15">
            <v>131500.5</v>
          </cell>
          <cell r="H15">
            <v>262057.5</v>
          </cell>
          <cell r="I15">
            <v>301410</v>
          </cell>
          <cell r="J15">
            <v>296406</v>
          </cell>
          <cell r="K15">
            <v>204750</v>
          </cell>
          <cell r="L15">
            <v>155178</v>
          </cell>
          <cell r="M15">
            <v>100963.5</v>
          </cell>
        </row>
      </sheetData>
      <sheetData sheetId="4">
        <row r="7">
          <cell r="B7">
            <v>6964.0320000000002</v>
          </cell>
          <cell r="C7">
            <v>10433.835000000001</v>
          </cell>
          <cell r="D7">
            <v>12038.399999999998</v>
          </cell>
          <cell r="E7">
            <v>14952.000000000002</v>
          </cell>
          <cell r="F7">
            <v>36679.5</v>
          </cell>
          <cell r="G7">
            <v>43615.6875</v>
          </cell>
          <cell r="H7">
            <v>46443.375</v>
          </cell>
          <cell r="I7">
            <v>30926.610000000004</v>
          </cell>
          <cell r="J7">
            <v>23423.4</v>
          </cell>
          <cell r="K7">
            <v>14818.500000000002</v>
          </cell>
          <cell r="L7">
            <v>11205.031499999999</v>
          </cell>
          <cell r="M7">
            <v>12100</v>
          </cell>
        </row>
        <row r="10">
          <cell r="B10">
            <v>34756.031999999999</v>
          </cell>
          <cell r="C10">
            <v>33748.203000000001</v>
          </cell>
          <cell r="D10">
            <v>46969.064999999995</v>
          </cell>
          <cell r="E10">
            <v>53073.599999999991</v>
          </cell>
          <cell r="F10">
            <v>81535.5</v>
          </cell>
          <cell r="G10">
            <v>148011.1875</v>
          </cell>
          <cell r="H10">
            <v>167415.1875</v>
          </cell>
          <cell r="I10">
            <v>156495.73500000002</v>
          </cell>
          <cell r="J10">
            <v>108326.79000000002</v>
          </cell>
          <cell r="K10">
            <v>81485.100000000006</v>
          </cell>
          <cell r="L10">
            <v>55660.531500000012</v>
          </cell>
          <cell r="M10">
            <v>46259.468500000003</v>
          </cell>
        </row>
        <row r="17">
          <cell r="B17">
            <v>45213.404799999997</v>
          </cell>
          <cell r="C17">
            <v>34267.375619999999</v>
          </cell>
          <cell r="D17">
            <v>35833.969004999999</v>
          </cell>
          <cell r="E17">
            <v>48650.326574999992</v>
          </cell>
          <cell r="F17">
            <v>57219.826499999996</v>
          </cell>
          <cell r="G17">
            <v>94059.399375000008</v>
          </cell>
          <cell r="H17">
            <v>152984.01937499997</v>
          </cell>
          <cell r="I17">
            <v>159189.85665000003</v>
          </cell>
          <cell r="J17">
            <v>149210.44875000001</v>
          </cell>
          <cell r="K17">
            <v>104295.73635000002</v>
          </cell>
          <cell r="L17">
            <v>77849.603437500016</v>
          </cell>
          <cell r="M17">
            <v>54254.101282500007</v>
          </cell>
        </row>
      </sheetData>
      <sheetData sheetId="5">
        <row r="16">
          <cell r="B16">
            <v>60800</v>
          </cell>
          <cell r="C16">
            <v>59100</v>
          </cell>
          <cell r="D16">
            <v>61650</v>
          </cell>
          <cell r="E16">
            <v>62500</v>
          </cell>
          <cell r="F16">
            <v>69200</v>
          </cell>
          <cell r="G16">
            <v>84650</v>
          </cell>
          <cell r="H16">
            <v>90425</v>
          </cell>
          <cell r="I16">
            <v>91775</v>
          </cell>
          <cell r="J16">
            <v>76560</v>
          </cell>
          <cell r="K16">
            <v>71880</v>
          </cell>
          <cell r="L16">
            <v>66300</v>
          </cell>
          <cell r="M16">
            <v>63600</v>
          </cell>
        </row>
        <row r="18">
          <cell r="B18">
            <v>52800</v>
          </cell>
          <cell r="C18">
            <v>51100</v>
          </cell>
          <cell r="D18">
            <v>53650</v>
          </cell>
          <cell r="E18">
            <v>54500</v>
          </cell>
          <cell r="F18">
            <v>61200</v>
          </cell>
          <cell r="G18">
            <v>76650</v>
          </cell>
          <cell r="H18">
            <v>82425</v>
          </cell>
          <cell r="I18">
            <v>83775</v>
          </cell>
          <cell r="J18">
            <v>68560</v>
          </cell>
          <cell r="K18">
            <v>63880</v>
          </cell>
          <cell r="L18">
            <v>58300</v>
          </cell>
          <cell r="M18">
            <v>55600</v>
          </cell>
        </row>
      </sheetData>
      <sheetData sheetId="6">
        <row r="16">
          <cell r="B16">
            <v>0</v>
          </cell>
          <cell r="C16">
            <v>0</v>
          </cell>
          <cell r="D16">
            <v>24859.749424999987</v>
          </cell>
          <cell r="E16">
            <v>24695.326574999985</v>
          </cell>
          <cell r="F16">
            <v>27757.826499999996</v>
          </cell>
          <cell r="G16">
            <v>39208.899375000008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M17">
            <v>-116521.80187499998</v>
          </cell>
        </row>
        <row r="18">
          <cell r="M18">
            <v>-9673.8034104999988</v>
          </cell>
        </row>
        <row r="20">
          <cell r="B20">
            <v>62082.595200000011</v>
          </cell>
          <cell r="C20">
            <v>40783.219580000004</v>
          </cell>
          <cell r="D20">
            <v>30000</v>
          </cell>
          <cell r="E20">
            <v>30000</v>
          </cell>
          <cell r="F20">
            <v>30000</v>
          </cell>
          <cell r="G20">
            <v>30000</v>
          </cell>
          <cell r="H20">
            <v>56648.480625000026</v>
          </cell>
          <cell r="I20">
            <v>115093.62397499999</v>
          </cell>
          <cell r="J20">
            <v>193729.17522499998</v>
          </cell>
          <cell r="K20">
            <v>230303.43887499999</v>
          </cell>
          <cell r="L20">
            <v>249331.83543749998</v>
          </cell>
          <cell r="M20">
            <v>114245.62886949998</v>
          </cell>
        </row>
      </sheetData>
      <sheetData sheetId="7">
        <row r="12">
          <cell r="B12">
            <v>0</v>
          </cell>
          <cell r="C12">
            <v>0</v>
          </cell>
          <cell r="D12">
            <v>248.59749424999987</v>
          </cell>
          <cell r="E12">
            <v>495.55075999999974</v>
          </cell>
          <cell r="F12">
            <v>773.12902499999973</v>
          </cell>
          <cell r="G12">
            <v>1165.2180187499998</v>
          </cell>
          <cell r="H12">
            <v>1165.2180187499998</v>
          </cell>
          <cell r="I12">
            <v>1165.2180187499998</v>
          </cell>
          <cell r="J12">
            <v>1165.2180187499998</v>
          </cell>
          <cell r="K12">
            <v>1165.2180187499998</v>
          </cell>
          <cell r="L12">
            <v>1165.2180187499998</v>
          </cell>
          <cell r="M12">
            <v>1165.2180187499998</v>
          </cell>
        </row>
        <row r="13">
          <cell r="B13">
            <v>-34592</v>
          </cell>
          <cell r="C13">
            <v>-39578.399999999994</v>
          </cell>
          <cell r="D13">
            <v>-30763.09749425</v>
          </cell>
          <cell r="E13">
            <v>-25155.550759999991</v>
          </cell>
          <cell r="F13">
            <v>-22981.129025000006</v>
          </cell>
          <cell r="G13">
            <v>29609.781981250002</v>
          </cell>
          <cell r="H13">
            <v>43072.281981250002</v>
          </cell>
          <cell r="I13">
            <v>47797.281981250002</v>
          </cell>
          <cell r="J13">
            <v>17044.781981249987</v>
          </cell>
          <cell r="K13">
            <v>664.78198125000017</v>
          </cell>
          <cell r="L13">
            <v>-19939.218018750005</v>
          </cell>
          <cell r="M13">
            <v>-33629.718018749998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B1:G28"/>
  <sheetViews>
    <sheetView showGridLines="0" zoomScaleNormal="100" workbookViewId="0">
      <selection activeCell="F19" sqref="F19"/>
    </sheetView>
  </sheetViews>
  <sheetFormatPr defaultRowHeight="13.2" x14ac:dyDescent="0.25"/>
  <cols>
    <col min="1" max="1" width="1.5546875" customWidth="1"/>
    <col min="2" max="2" width="2.44140625" customWidth="1"/>
    <col min="3" max="3" width="42.5546875" customWidth="1"/>
    <col min="4" max="4" width="2.44140625" customWidth="1"/>
    <col min="5" max="5" width="6" customWidth="1"/>
    <col min="6" max="6" width="11.5546875" customWidth="1"/>
    <col min="7" max="7" width="14.44140625" customWidth="1"/>
  </cols>
  <sheetData>
    <row r="1" spans="2:7" ht="6.75" customHeight="1" thickBot="1" x14ac:dyDescent="0.3"/>
    <row r="2" spans="2:7" ht="9" customHeight="1" x14ac:dyDescent="0.25">
      <c r="B2" s="44"/>
      <c r="C2" s="45"/>
      <c r="D2" s="46"/>
    </row>
    <row r="3" spans="2:7" x14ac:dyDescent="0.25">
      <c r="B3" s="47"/>
      <c r="C3" s="48" t="s">
        <v>129</v>
      </c>
      <c r="D3" s="49"/>
      <c r="F3" s="60" t="s">
        <v>135</v>
      </c>
    </row>
    <row r="4" spans="2:7" x14ac:dyDescent="0.25">
      <c r="B4" s="47"/>
      <c r="C4" s="48"/>
      <c r="D4" s="49"/>
      <c r="F4" s="57"/>
      <c r="G4" s="33" t="s">
        <v>130</v>
      </c>
    </row>
    <row r="5" spans="2:7" x14ac:dyDescent="0.25">
      <c r="B5" s="47"/>
      <c r="C5" s="55" t="s">
        <v>134</v>
      </c>
      <c r="D5" s="49"/>
      <c r="F5" s="58"/>
      <c r="G5" s="33" t="s">
        <v>132</v>
      </c>
    </row>
    <row r="6" spans="2:7" x14ac:dyDescent="0.25">
      <c r="B6" s="47"/>
      <c r="C6" s="50"/>
      <c r="D6" s="49"/>
      <c r="F6" s="59"/>
      <c r="G6" s="33" t="s">
        <v>136</v>
      </c>
    </row>
    <row r="7" spans="2:7" x14ac:dyDescent="0.25">
      <c r="B7" s="47"/>
      <c r="C7" s="51" t="s">
        <v>130</v>
      </c>
      <c r="D7" s="49"/>
    </row>
    <row r="8" spans="2:7" x14ac:dyDescent="0.25">
      <c r="B8" s="47"/>
      <c r="C8" s="56" t="s">
        <v>62</v>
      </c>
      <c r="D8" s="49"/>
    </row>
    <row r="9" spans="2:7" x14ac:dyDescent="0.25">
      <c r="B9" s="47"/>
      <c r="C9" s="56" t="s">
        <v>15</v>
      </c>
      <c r="D9" s="49"/>
    </row>
    <row r="10" spans="2:7" x14ac:dyDescent="0.25">
      <c r="B10" s="47"/>
      <c r="C10" s="56" t="s">
        <v>75</v>
      </c>
      <c r="D10" s="49"/>
    </row>
    <row r="11" spans="2:7" x14ac:dyDescent="0.25">
      <c r="B11" s="47"/>
      <c r="C11" s="56" t="s">
        <v>131</v>
      </c>
      <c r="D11" s="49"/>
    </row>
    <row r="12" spans="2:7" x14ac:dyDescent="0.25">
      <c r="B12" s="47"/>
      <c r="C12" s="56" t="s">
        <v>33</v>
      </c>
      <c r="D12" s="49"/>
    </row>
    <row r="13" spans="2:7" x14ac:dyDescent="0.25">
      <c r="B13" s="47"/>
      <c r="C13" s="56" t="s">
        <v>119</v>
      </c>
      <c r="D13" s="49"/>
    </row>
    <row r="14" spans="2:7" x14ac:dyDescent="0.25">
      <c r="B14" s="47"/>
      <c r="C14" s="56" t="s">
        <v>120</v>
      </c>
      <c r="D14" s="49"/>
    </row>
    <row r="15" spans="2:7" x14ac:dyDescent="0.25">
      <c r="B15" s="47"/>
      <c r="C15" s="50"/>
      <c r="D15" s="49"/>
    </row>
    <row r="16" spans="2:7" x14ac:dyDescent="0.25">
      <c r="B16" s="47"/>
      <c r="C16" s="51" t="s">
        <v>132</v>
      </c>
      <c r="D16" s="49"/>
    </row>
    <row r="17" spans="2:4" x14ac:dyDescent="0.25">
      <c r="B17" s="47"/>
      <c r="C17" s="56" t="s">
        <v>62</v>
      </c>
      <c r="D17" s="49"/>
    </row>
    <row r="18" spans="2:4" x14ac:dyDescent="0.25">
      <c r="B18" s="47"/>
      <c r="C18" s="56" t="s">
        <v>15</v>
      </c>
      <c r="D18" s="49"/>
    </row>
    <row r="19" spans="2:4" x14ac:dyDescent="0.25">
      <c r="B19" s="47"/>
      <c r="C19" s="56" t="s">
        <v>75</v>
      </c>
      <c r="D19" s="49"/>
    </row>
    <row r="20" spans="2:4" x14ac:dyDescent="0.25">
      <c r="B20" s="47"/>
      <c r="C20" s="56" t="s">
        <v>131</v>
      </c>
      <c r="D20" s="49"/>
    </row>
    <row r="21" spans="2:4" x14ac:dyDescent="0.25">
      <c r="B21" s="47"/>
      <c r="C21" s="56" t="s">
        <v>33</v>
      </c>
      <c r="D21" s="49"/>
    </row>
    <row r="22" spans="2:4" x14ac:dyDescent="0.25">
      <c r="B22" s="47"/>
      <c r="C22" s="56" t="s">
        <v>119</v>
      </c>
      <c r="D22" s="49"/>
    </row>
    <row r="23" spans="2:4" x14ac:dyDescent="0.25">
      <c r="B23" s="47"/>
      <c r="C23" s="56" t="s">
        <v>120</v>
      </c>
      <c r="D23" s="49"/>
    </row>
    <row r="24" spans="2:4" x14ac:dyDescent="0.25">
      <c r="B24" s="47"/>
      <c r="C24" s="50"/>
      <c r="D24" s="49"/>
    </row>
    <row r="25" spans="2:4" x14ac:dyDescent="0.25">
      <c r="B25" s="47"/>
      <c r="C25" s="51" t="s">
        <v>133</v>
      </c>
      <c r="D25" s="49"/>
    </row>
    <row r="26" spans="2:4" x14ac:dyDescent="0.25">
      <c r="B26" s="47"/>
      <c r="C26" s="56" t="s">
        <v>137</v>
      </c>
      <c r="D26" s="49"/>
    </row>
    <row r="27" spans="2:4" x14ac:dyDescent="0.25">
      <c r="B27" s="47"/>
      <c r="C27" s="56" t="s">
        <v>138</v>
      </c>
      <c r="D27" s="49"/>
    </row>
    <row r="28" spans="2:4" ht="9" customHeight="1" thickBot="1" x14ac:dyDescent="0.3">
      <c r="B28" s="52"/>
      <c r="C28" s="53"/>
      <c r="D28" s="54"/>
    </row>
  </sheetData>
  <hyperlinks>
    <hyperlink ref="C5" location="'Beginning Balance Sheet'!A1" display="Beginning Balance Sheet" xr:uid="{00000000-0004-0000-0000-000000000000}"/>
    <hyperlink ref="C8" location="'M-Budgeting Assumptions'!A1" display="Budgeting Assumptions" xr:uid="{00000000-0004-0000-0000-000001000000}"/>
    <hyperlink ref="C9" location="'M-Sales Budget'!A1" display="Sales Budget" xr:uid="{00000000-0004-0000-0000-000002000000}"/>
    <hyperlink ref="C10" location="'M-Merchandise Purchases Budget'!A1" display="Merchandise Purchases Budget" xr:uid="{00000000-0004-0000-0000-000003000000}"/>
    <hyperlink ref="C11" location="'M-Selling &amp; Admin Budget'!A1" display="Selling &amp; Admin Budget" xr:uid="{00000000-0004-0000-0000-000004000000}"/>
    <hyperlink ref="C12" location="'M-Cash Budget'!A1" display="Cash Budget" xr:uid="{00000000-0004-0000-0000-000005000000}"/>
    <hyperlink ref="C13" location="'M-Budgeted Income Statements'!A1" display="Budgeted Income Statements" xr:uid="{00000000-0004-0000-0000-000006000000}"/>
    <hyperlink ref="C14" location="'M-Budgeted Balance Sheets'!A1" display="Budgeted Balance Sheets" xr:uid="{00000000-0004-0000-0000-000007000000}"/>
    <hyperlink ref="C17" location="'F-Budgeting Assumptions'!A1" display="Budgeting Assumptions" xr:uid="{00000000-0004-0000-0000-000008000000}"/>
    <hyperlink ref="C18" location="'F-Sales Budget'!A1" display="Sales Budget" xr:uid="{00000000-0004-0000-0000-000009000000}"/>
    <hyperlink ref="C19" location="'F-Merchandise Purchases Bud'!A1" display="Merchandise Purchases Budget" xr:uid="{00000000-0004-0000-0000-00000A000000}"/>
    <hyperlink ref="C20" location="'F-Selling &amp; Admin Budget'!A1" display="Selling &amp; Admin Budget" xr:uid="{00000000-0004-0000-0000-00000B000000}"/>
    <hyperlink ref="C21" location="'F-Cash Budget'!A1" display="Cash Budget" xr:uid="{00000000-0004-0000-0000-00000C000000}"/>
    <hyperlink ref="C22" location="'F-Budgeted Income Statement'!A1" display="Budgeted Income Statements" xr:uid="{00000000-0004-0000-0000-00000D000000}"/>
    <hyperlink ref="C23" location="'F-Budgeted Balance Sheets'!A1" display="Budgeted Balance Sheets" xr:uid="{00000000-0004-0000-0000-00000E000000}"/>
    <hyperlink ref="C26" location="'Actual Income Statement'!A1" display="Actual Income Statements" xr:uid="{00000000-0004-0000-0000-00000F000000}"/>
    <hyperlink ref="C27" location="'Actual Balance Sheets'!A1" display="Actual Balance Sheets" xr:uid="{00000000-0004-0000-0000-000010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39997558519241921"/>
  </sheetPr>
  <dimension ref="A1:N18"/>
  <sheetViews>
    <sheetView workbookViewId="0">
      <selection sqref="A1:N1"/>
    </sheetView>
  </sheetViews>
  <sheetFormatPr defaultRowHeight="13.2" x14ac:dyDescent="0.25"/>
  <cols>
    <col min="1" max="1" width="60.5546875" customWidth="1"/>
    <col min="2" max="13" width="15" customWidth="1"/>
    <col min="14" max="14" width="15.5546875" bestFit="1" customWidth="1"/>
  </cols>
  <sheetData>
    <row r="1" spans="1:14" ht="15.6" x14ac:dyDescent="0.3">
      <c r="A1" s="80" t="s">
        <v>77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ht="15.6" x14ac:dyDescent="0.3">
      <c r="A2" s="80" t="s">
        <v>147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ht="15.6" x14ac:dyDescent="0.3">
      <c r="A3" s="80" t="s">
        <v>95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4" ht="15" x14ac:dyDescent="0.25">
      <c r="A4" s="10"/>
      <c r="B4" s="5"/>
      <c r="C4" s="10"/>
      <c r="D4" s="10"/>
      <c r="E4" s="10"/>
      <c r="F4" s="10"/>
    </row>
    <row r="5" spans="1:14" ht="15.6" x14ac:dyDescent="0.3">
      <c r="A5" s="1"/>
      <c r="B5" s="2" t="s">
        <v>80</v>
      </c>
      <c r="C5" s="2" t="s">
        <v>81</v>
      </c>
      <c r="D5" s="2" t="s">
        <v>82</v>
      </c>
      <c r="E5" s="2" t="s">
        <v>83</v>
      </c>
      <c r="F5" s="2" t="s">
        <v>99</v>
      </c>
      <c r="G5" s="2" t="s">
        <v>85</v>
      </c>
      <c r="H5" s="2" t="s">
        <v>86</v>
      </c>
      <c r="I5" s="2" t="s">
        <v>87</v>
      </c>
      <c r="J5" s="2" t="s">
        <v>88</v>
      </c>
      <c r="K5" s="2" t="s">
        <v>89</v>
      </c>
      <c r="L5" s="2" t="s">
        <v>90</v>
      </c>
      <c r="M5" s="2" t="s">
        <v>91</v>
      </c>
      <c r="N5" s="2" t="s">
        <v>53</v>
      </c>
    </row>
    <row r="6" spans="1:14" ht="15" x14ac:dyDescent="0.25">
      <c r="A6" s="1" t="s">
        <v>182</v>
      </c>
      <c r="B6" s="3">
        <f>'F-Sales Budget'!B6</f>
        <v>800</v>
      </c>
      <c r="C6" s="3">
        <f>'F-Sales Budget'!C6</f>
        <v>600</v>
      </c>
      <c r="D6" s="3">
        <f>'F-Sales Budget'!D6</f>
        <v>900</v>
      </c>
      <c r="E6" s="3">
        <f>'F-Sales Budget'!E6</f>
        <v>1000</v>
      </c>
      <c r="F6" s="3">
        <f>'F-Sales Budget'!F6</f>
        <v>1200</v>
      </c>
      <c r="G6" s="3">
        <f>'F-Sales Budget'!G6</f>
        <v>2850</v>
      </c>
      <c r="H6" s="3">
        <f>'F-Sales Budget'!H6</f>
        <v>3325</v>
      </c>
      <c r="I6" s="3">
        <f>'F-Sales Budget'!I6</f>
        <v>3475</v>
      </c>
      <c r="J6" s="3">
        <f>'F-Sales Budget'!J6</f>
        <v>2340</v>
      </c>
      <c r="K6" s="3">
        <f>'F-Sales Budget'!K6</f>
        <v>1820</v>
      </c>
      <c r="L6" s="3">
        <f>'F-Sales Budget'!L6</f>
        <v>1200</v>
      </c>
      <c r="M6" s="3">
        <f>'F-Sales Budget'!M6</f>
        <v>900</v>
      </c>
      <c r="N6" s="34">
        <f>SUM(B6:M6)</f>
        <v>20410</v>
      </c>
    </row>
    <row r="7" spans="1:14" ht="16.8" x14ac:dyDescent="0.4">
      <c r="A7" s="1" t="s">
        <v>72</v>
      </c>
      <c r="B7" s="12">
        <f>+'F-Budgeting Assumptions'!$B$19</f>
        <v>8</v>
      </c>
      <c r="C7" s="12">
        <f>+'F-Budgeting Assumptions'!$B$19</f>
        <v>8</v>
      </c>
      <c r="D7" s="12">
        <f>+'F-Budgeting Assumptions'!$B$19</f>
        <v>8</v>
      </c>
      <c r="E7" s="12">
        <f>+'F-Budgeting Assumptions'!$B$19</f>
        <v>8</v>
      </c>
      <c r="F7" s="12">
        <f>+'F-Budgeting Assumptions'!$B$19</f>
        <v>8</v>
      </c>
      <c r="G7" s="12">
        <f>+'F-Budgeting Assumptions'!$B$19</f>
        <v>8</v>
      </c>
      <c r="H7" s="12">
        <f>+'F-Budgeting Assumptions'!$B$19</f>
        <v>8</v>
      </c>
      <c r="I7" s="12">
        <f>+'F-Budgeting Assumptions'!$B$19</f>
        <v>8</v>
      </c>
      <c r="J7" s="12">
        <f>+'F-Budgeting Assumptions'!$B$19</f>
        <v>8</v>
      </c>
      <c r="K7" s="12">
        <f>+'F-Budgeting Assumptions'!$B$19</f>
        <v>8</v>
      </c>
      <c r="L7" s="12">
        <f>+'F-Budgeting Assumptions'!$B$19</f>
        <v>8</v>
      </c>
      <c r="M7" s="12">
        <f>+'F-Budgeting Assumptions'!$B$19</f>
        <v>8</v>
      </c>
      <c r="N7" s="73">
        <f>M7</f>
        <v>8</v>
      </c>
    </row>
    <row r="8" spans="1:14" ht="16.8" x14ac:dyDescent="0.4">
      <c r="A8" s="1" t="s">
        <v>40</v>
      </c>
      <c r="B8" s="12">
        <f>B7*B6</f>
        <v>6400</v>
      </c>
      <c r="C8" s="12">
        <f>C7*C6</f>
        <v>4800</v>
      </c>
      <c r="D8" s="12">
        <f>D7*D6</f>
        <v>7200</v>
      </c>
      <c r="E8" s="12">
        <f>E7*E6</f>
        <v>8000</v>
      </c>
      <c r="F8" s="12">
        <f>F7*F6</f>
        <v>9600</v>
      </c>
      <c r="G8" s="12">
        <f t="shared" ref="G8:N8" si="0">G7*G6</f>
        <v>22800</v>
      </c>
      <c r="H8" s="12">
        <f t="shared" si="0"/>
        <v>26600</v>
      </c>
      <c r="I8" s="12">
        <f t="shared" si="0"/>
        <v>27800</v>
      </c>
      <c r="J8" s="12">
        <f t="shared" si="0"/>
        <v>18720</v>
      </c>
      <c r="K8" s="12">
        <f t="shared" si="0"/>
        <v>14560</v>
      </c>
      <c r="L8" s="12">
        <f t="shared" si="0"/>
        <v>9600</v>
      </c>
      <c r="M8" s="12">
        <f t="shared" si="0"/>
        <v>7200</v>
      </c>
      <c r="N8" s="12">
        <f t="shared" si="0"/>
        <v>163280</v>
      </c>
    </row>
    <row r="9" spans="1:14" ht="15" x14ac:dyDescent="0.25">
      <c r="A9" s="1" t="s">
        <v>41</v>
      </c>
      <c r="B9" s="5"/>
      <c r="C9" s="1"/>
      <c r="D9" s="1"/>
      <c r="E9" s="1"/>
      <c r="F9" s="1"/>
      <c r="N9" s="1"/>
    </row>
    <row r="10" spans="1:14" ht="15" x14ac:dyDescent="0.25">
      <c r="A10" s="14" t="s">
        <v>30</v>
      </c>
      <c r="B10" s="3">
        <f>+'F-Budgeting Assumptions'!$B$21</f>
        <v>15000</v>
      </c>
      <c r="C10" s="3">
        <f>+'F-Budgeting Assumptions'!$B$21</f>
        <v>15000</v>
      </c>
      <c r="D10" s="3">
        <f>+'F-Budgeting Assumptions'!$B$21</f>
        <v>15000</v>
      </c>
      <c r="E10" s="3">
        <f>+'F-Budgeting Assumptions'!$B$21</f>
        <v>15000</v>
      </c>
      <c r="F10" s="3">
        <f>+'F-Budgeting Assumptions'!$B$21</f>
        <v>15000</v>
      </c>
      <c r="G10" s="3">
        <f>+'F-Budgeting Assumptions'!$B$21</f>
        <v>15000</v>
      </c>
      <c r="H10" s="3">
        <f>+'F-Budgeting Assumptions'!$B$21</f>
        <v>15000</v>
      </c>
      <c r="I10" s="3">
        <f>+'F-Budgeting Assumptions'!$B$21</f>
        <v>15000</v>
      </c>
      <c r="J10" s="3">
        <f>+'F-Budgeting Assumptions'!$B$21</f>
        <v>15000</v>
      </c>
      <c r="K10" s="3">
        <f>+'F-Budgeting Assumptions'!$B$21</f>
        <v>15000</v>
      </c>
      <c r="L10" s="3">
        <f>+'F-Budgeting Assumptions'!$B$21</f>
        <v>15000</v>
      </c>
      <c r="M10" s="3">
        <f>+'F-Budgeting Assumptions'!$B$21</f>
        <v>15000</v>
      </c>
      <c r="N10" s="34">
        <f t="shared" ref="N10:N14" si="1">SUM(B10:M10)</f>
        <v>180000</v>
      </c>
    </row>
    <row r="11" spans="1:14" ht="15" x14ac:dyDescent="0.25">
      <c r="A11" s="14" t="s">
        <v>31</v>
      </c>
      <c r="B11" s="3">
        <f>+'F-Budgeting Assumptions'!$B$22</f>
        <v>20000</v>
      </c>
      <c r="C11" s="3">
        <f>+'F-Budgeting Assumptions'!$B$22</f>
        <v>20000</v>
      </c>
      <c r="D11" s="3">
        <f>+'F-Budgeting Assumptions'!$B$22</f>
        <v>20000</v>
      </c>
      <c r="E11" s="3">
        <f>+'F-Budgeting Assumptions'!$B$22</f>
        <v>20000</v>
      </c>
      <c r="F11" s="3">
        <f>+'F-Budgeting Assumptions'!$B$22</f>
        <v>20000</v>
      </c>
      <c r="G11" s="3">
        <f>+'F-Budgeting Assumptions'!$B$22</f>
        <v>20000</v>
      </c>
      <c r="H11" s="3">
        <f>+'F-Budgeting Assumptions'!$B$22</f>
        <v>20000</v>
      </c>
      <c r="I11" s="3">
        <f>+'F-Budgeting Assumptions'!$B$22</f>
        <v>20000</v>
      </c>
      <c r="J11" s="3">
        <f>+'F-Budgeting Assumptions'!$B$22</f>
        <v>20000</v>
      </c>
      <c r="K11" s="3">
        <f>+'F-Budgeting Assumptions'!$B$22</f>
        <v>20000</v>
      </c>
      <c r="L11" s="3">
        <f>+'F-Budgeting Assumptions'!$B$22</f>
        <v>20000</v>
      </c>
      <c r="M11" s="3">
        <f>+'F-Budgeting Assumptions'!$B$22</f>
        <v>20000</v>
      </c>
      <c r="N11" s="34">
        <f t="shared" si="1"/>
        <v>240000</v>
      </c>
    </row>
    <row r="12" spans="1:14" ht="15" x14ac:dyDescent="0.25">
      <c r="A12" s="14" t="s">
        <v>20</v>
      </c>
      <c r="B12" s="3">
        <f>+'F-Budgeting Assumptions'!$B$23</f>
        <v>6000</v>
      </c>
      <c r="C12" s="3">
        <f>+'F-Budgeting Assumptions'!$B$23</f>
        <v>6000</v>
      </c>
      <c r="D12" s="3">
        <f>+'F-Budgeting Assumptions'!$B$23</f>
        <v>6000</v>
      </c>
      <c r="E12" s="3">
        <f>+'F-Budgeting Assumptions'!$B$23</f>
        <v>6000</v>
      </c>
      <c r="F12" s="3">
        <f>+'F-Budgeting Assumptions'!$B$23</f>
        <v>6000</v>
      </c>
      <c r="G12" s="3">
        <f>+'F-Budgeting Assumptions'!$B$23</f>
        <v>6000</v>
      </c>
      <c r="H12" s="3">
        <f>+'F-Budgeting Assumptions'!$B$23</f>
        <v>6000</v>
      </c>
      <c r="I12" s="3">
        <f>+'F-Budgeting Assumptions'!$B$23</f>
        <v>6000</v>
      </c>
      <c r="J12" s="3">
        <f>+'F-Budgeting Assumptions'!$B$23</f>
        <v>6000</v>
      </c>
      <c r="K12" s="3">
        <f>+'F-Budgeting Assumptions'!$B$23</f>
        <v>6000</v>
      </c>
      <c r="L12" s="3">
        <f>+'F-Budgeting Assumptions'!$B$23</f>
        <v>6000</v>
      </c>
      <c r="M12" s="3">
        <f>+'F-Budgeting Assumptions'!$B$23</f>
        <v>6000</v>
      </c>
      <c r="N12" s="34">
        <f t="shared" si="1"/>
        <v>72000</v>
      </c>
    </row>
    <row r="13" spans="1:14" ht="15" x14ac:dyDescent="0.25">
      <c r="A13" s="14" t="s">
        <v>14</v>
      </c>
      <c r="B13" s="3">
        <f>+'F-Budgeting Assumptions'!$B$24</f>
        <v>5000</v>
      </c>
      <c r="C13" s="3">
        <f>+'F-Budgeting Assumptions'!$B$24</f>
        <v>5000</v>
      </c>
      <c r="D13" s="3">
        <f>+'F-Budgeting Assumptions'!$B$24</f>
        <v>5000</v>
      </c>
      <c r="E13" s="3">
        <f>+'F-Budgeting Assumptions'!$B$24</f>
        <v>5000</v>
      </c>
      <c r="F13" s="3">
        <f>+'F-Budgeting Assumptions'!$B$24</f>
        <v>5000</v>
      </c>
      <c r="G13" s="3">
        <f>+'F-Budgeting Assumptions'!$B$24</f>
        <v>5000</v>
      </c>
      <c r="H13" s="3">
        <f>+'F-Budgeting Assumptions'!$B$24</f>
        <v>5000</v>
      </c>
      <c r="I13" s="3">
        <f>+'F-Budgeting Assumptions'!$B$24</f>
        <v>5000</v>
      </c>
      <c r="J13" s="3">
        <f>+'F-Budgeting Assumptions'!$B$24</f>
        <v>5000</v>
      </c>
      <c r="K13" s="3">
        <f>+'F-Budgeting Assumptions'!$B$24</f>
        <v>5000</v>
      </c>
      <c r="L13" s="3">
        <f>+'F-Budgeting Assumptions'!$B$24</f>
        <v>5000</v>
      </c>
      <c r="M13" s="3">
        <f>+'F-Budgeting Assumptions'!$B$24</f>
        <v>5000</v>
      </c>
      <c r="N13" s="34">
        <f t="shared" si="1"/>
        <v>60000</v>
      </c>
    </row>
    <row r="14" spans="1:14" ht="16.8" x14ac:dyDescent="0.4">
      <c r="A14" s="14" t="s">
        <v>32</v>
      </c>
      <c r="B14" s="8">
        <f>+'F-Budgeting Assumptions'!$B$25</f>
        <v>8000</v>
      </c>
      <c r="C14" s="8">
        <f>+'F-Budgeting Assumptions'!$B$25</f>
        <v>8000</v>
      </c>
      <c r="D14" s="8">
        <f>+'F-Budgeting Assumptions'!$B$25</f>
        <v>8000</v>
      </c>
      <c r="E14" s="8">
        <f>+'F-Budgeting Assumptions'!$B$25</f>
        <v>8000</v>
      </c>
      <c r="F14" s="8">
        <f>+'F-Budgeting Assumptions'!$B$25</f>
        <v>8000</v>
      </c>
      <c r="G14" s="8">
        <f>+'F-Budgeting Assumptions'!$B$25</f>
        <v>8000</v>
      </c>
      <c r="H14" s="8">
        <f>+'F-Budgeting Assumptions'!$B$25</f>
        <v>8000</v>
      </c>
      <c r="I14" s="8">
        <f>+'F-Budgeting Assumptions'!$B$25</f>
        <v>8000</v>
      </c>
      <c r="J14" s="8">
        <f>+'F-Budgeting Assumptions'!$B$25</f>
        <v>8000</v>
      </c>
      <c r="K14" s="8">
        <f>+'F-Budgeting Assumptions'!$B$25</f>
        <v>8000</v>
      </c>
      <c r="L14" s="8">
        <f>+'F-Budgeting Assumptions'!$B$25</f>
        <v>8000</v>
      </c>
      <c r="M14" s="8">
        <f>+'F-Budgeting Assumptions'!$B$25</f>
        <v>8000</v>
      </c>
      <c r="N14" s="19">
        <f t="shared" si="1"/>
        <v>96000</v>
      </c>
    </row>
    <row r="15" spans="1:14" ht="16.8" x14ac:dyDescent="0.4">
      <c r="A15" s="15" t="s">
        <v>42</v>
      </c>
      <c r="B15" s="8">
        <f>SUM(B10:B14)</f>
        <v>54000</v>
      </c>
      <c r="C15" s="8">
        <f>SUM(C10:C14)</f>
        <v>54000</v>
      </c>
      <c r="D15" s="8">
        <f>SUM(D10:D14)</f>
        <v>54000</v>
      </c>
      <c r="E15" s="8">
        <f>SUM(E10:E14)</f>
        <v>54000</v>
      </c>
      <c r="F15" s="8">
        <f t="shared" ref="F15:N15" si="2">SUM(F10:F14)</f>
        <v>54000</v>
      </c>
      <c r="G15" s="8">
        <f t="shared" si="2"/>
        <v>54000</v>
      </c>
      <c r="H15" s="8">
        <f t="shared" si="2"/>
        <v>54000</v>
      </c>
      <c r="I15" s="8">
        <f t="shared" si="2"/>
        <v>54000</v>
      </c>
      <c r="J15" s="8">
        <f t="shared" si="2"/>
        <v>54000</v>
      </c>
      <c r="K15" s="8">
        <f t="shared" si="2"/>
        <v>54000</v>
      </c>
      <c r="L15" s="8">
        <f t="shared" si="2"/>
        <v>54000</v>
      </c>
      <c r="M15" s="8">
        <f t="shared" si="2"/>
        <v>54000</v>
      </c>
      <c r="N15" s="8">
        <f t="shared" si="2"/>
        <v>648000</v>
      </c>
    </row>
    <row r="16" spans="1:14" ht="15" x14ac:dyDescent="0.25">
      <c r="A16" s="1" t="s">
        <v>43</v>
      </c>
      <c r="B16" s="3">
        <f>B8+B15</f>
        <v>60400</v>
      </c>
      <c r="C16" s="3">
        <f>C8+C15</f>
        <v>58800</v>
      </c>
      <c r="D16" s="3">
        <f>D8+D15</f>
        <v>61200</v>
      </c>
      <c r="E16" s="3">
        <f>E8+E15</f>
        <v>62000</v>
      </c>
      <c r="F16" s="3">
        <f t="shared" ref="F16:N16" si="3">F8+F15</f>
        <v>63600</v>
      </c>
      <c r="G16" s="3">
        <f t="shared" si="3"/>
        <v>76800</v>
      </c>
      <c r="H16" s="3">
        <f t="shared" si="3"/>
        <v>80600</v>
      </c>
      <c r="I16" s="3">
        <f t="shared" si="3"/>
        <v>81800</v>
      </c>
      <c r="J16" s="3">
        <f t="shared" si="3"/>
        <v>72720</v>
      </c>
      <c r="K16" s="3">
        <f t="shared" si="3"/>
        <v>68560</v>
      </c>
      <c r="L16" s="3">
        <f t="shared" si="3"/>
        <v>63600</v>
      </c>
      <c r="M16" s="3">
        <f t="shared" si="3"/>
        <v>61200</v>
      </c>
      <c r="N16" s="3">
        <f t="shared" si="3"/>
        <v>811280</v>
      </c>
    </row>
    <row r="17" spans="1:14" ht="16.8" x14ac:dyDescent="0.4">
      <c r="A17" s="1" t="s">
        <v>2</v>
      </c>
      <c r="B17" s="8">
        <f>B14</f>
        <v>8000</v>
      </c>
      <c r="C17" s="8">
        <f>C14</f>
        <v>8000</v>
      </c>
      <c r="D17" s="8">
        <f>D14</f>
        <v>8000</v>
      </c>
      <c r="E17" s="8">
        <f>E14</f>
        <v>8000</v>
      </c>
      <c r="F17" s="8">
        <f t="shared" ref="F17:N17" si="4">F14</f>
        <v>8000</v>
      </c>
      <c r="G17" s="8">
        <f t="shared" si="4"/>
        <v>8000</v>
      </c>
      <c r="H17" s="8">
        <f t="shared" si="4"/>
        <v>8000</v>
      </c>
      <c r="I17" s="8">
        <f t="shared" si="4"/>
        <v>8000</v>
      </c>
      <c r="J17" s="8">
        <f t="shared" si="4"/>
        <v>8000</v>
      </c>
      <c r="K17" s="8">
        <f t="shared" si="4"/>
        <v>8000</v>
      </c>
      <c r="L17" s="8">
        <f t="shared" si="4"/>
        <v>8000</v>
      </c>
      <c r="M17" s="8">
        <f t="shared" si="4"/>
        <v>8000</v>
      </c>
      <c r="N17" s="8">
        <f t="shared" si="4"/>
        <v>96000</v>
      </c>
    </row>
    <row r="18" spans="1:14" ht="16.8" x14ac:dyDescent="0.4">
      <c r="A18" s="1" t="s">
        <v>3</v>
      </c>
      <c r="B18" s="4">
        <f>B16-B17</f>
        <v>52400</v>
      </c>
      <c r="C18" s="4">
        <f>C16-C17</f>
        <v>50800</v>
      </c>
      <c r="D18" s="4">
        <f>D16-D17</f>
        <v>53200</v>
      </c>
      <c r="E18" s="4">
        <f>E16-E17</f>
        <v>54000</v>
      </c>
      <c r="F18" s="4">
        <f t="shared" ref="F18:N18" si="5">F16-F17</f>
        <v>55600</v>
      </c>
      <c r="G18" s="4">
        <f t="shared" si="5"/>
        <v>68800</v>
      </c>
      <c r="H18" s="4">
        <f t="shared" si="5"/>
        <v>72600</v>
      </c>
      <c r="I18" s="4">
        <f t="shared" si="5"/>
        <v>73800</v>
      </c>
      <c r="J18" s="4">
        <f t="shared" si="5"/>
        <v>64720</v>
      </c>
      <c r="K18" s="4">
        <f t="shared" si="5"/>
        <v>60560</v>
      </c>
      <c r="L18" s="4">
        <f t="shared" si="5"/>
        <v>55600</v>
      </c>
      <c r="M18" s="4">
        <f t="shared" si="5"/>
        <v>53200</v>
      </c>
      <c r="N18" s="4">
        <f t="shared" si="5"/>
        <v>715280</v>
      </c>
    </row>
  </sheetData>
  <mergeCells count="3">
    <mergeCell ref="A1:N1"/>
    <mergeCell ref="A2:N2"/>
    <mergeCell ref="A3:N3"/>
  </mergeCells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tabColor theme="8" tint="0.39997558519241921"/>
  </sheetPr>
  <dimension ref="A1:N20"/>
  <sheetViews>
    <sheetView zoomScaleNormal="100" workbookViewId="0">
      <selection activeCell="G25" sqref="G25"/>
    </sheetView>
  </sheetViews>
  <sheetFormatPr defaultRowHeight="13.2" x14ac:dyDescent="0.25"/>
  <cols>
    <col min="1" max="1" width="59.44140625" bestFit="1" customWidth="1"/>
    <col min="2" max="13" width="15" customWidth="1"/>
    <col min="14" max="14" width="12.88671875" bestFit="1" customWidth="1"/>
  </cols>
  <sheetData>
    <row r="1" spans="1:14" ht="15.6" x14ac:dyDescent="0.3">
      <c r="A1" s="80" t="s">
        <v>77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ht="15.6" x14ac:dyDescent="0.3">
      <c r="A2" s="80" t="s">
        <v>148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ht="15.6" x14ac:dyDescent="0.3">
      <c r="A3" s="80" t="s">
        <v>95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4" ht="15" x14ac:dyDescent="0.25">
      <c r="A4" s="10"/>
      <c r="B4" s="5"/>
      <c r="C4" s="10"/>
      <c r="D4" s="10"/>
      <c r="E4" s="10"/>
      <c r="F4" s="10"/>
    </row>
    <row r="5" spans="1:14" ht="15.6" x14ac:dyDescent="0.3">
      <c r="A5" s="1"/>
      <c r="B5" s="2" t="s">
        <v>80</v>
      </c>
      <c r="C5" s="2" t="s">
        <v>81</v>
      </c>
      <c r="D5" s="2" t="s">
        <v>82</v>
      </c>
      <c r="E5" s="2" t="s">
        <v>83</v>
      </c>
      <c r="F5" s="2" t="s">
        <v>99</v>
      </c>
      <c r="G5" s="2" t="s">
        <v>85</v>
      </c>
      <c r="H5" s="2" t="s">
        <v>86</v>
      </c>
      <c r="I5" s="2" t="s">
        <v>87</v>
      </c>
      <c r="J5" s="2" t="s">
        <v>88</v>
      </c>
      <c r="K5" s="2" t="s">
        <v>89</v>
      </c>
      <c r="L5" s="2" t="s">
        <v>90</v>
      </c>
      <c r="M5" s="2" t="s">
        <v>91</v>
      </c>
      <c r="N5" s="2" t="s">
        <v>53</v>
      </c>
    </row>
    <row r="6" spans="1:14" ht="15" x14ac:dyDescent="0.25">
      <c r="A6" s="1" t="s">
        <v>64</v>
      </c>
      <c r="B6" s="11">
        <f>'Beginning Balance Sheet'!B7</f>
        <v>68000</v>
      </c>
      <c r="C6" s="11">
        <f t="shared" ref="C6:H6" si="0">B20</f>
        <v>64998.125</v>
      </c>
      <c r="D6" s="11">
        <f t="shared" si="0"/>
        <v>51033.125</v>
      </c>
      <c r="E6" s="11">
        <f t="shared" si="0"/>
        <v>30000</v>
      </c>
      <c r="F6" s="11">
        <f t="shared" si="0"/>
        <v>30000</v>
      </c>
      <c r="G6" s="11">
        <f t="shared" si="0"/>
        <v>30000</v>
      </c>
      <c r="H6" s="11">
        <f t="shared" si="0"/>
        <v>30000</v>
      </c>
      <c r="I6" s="11">
        <f t="shared" ref="I6:M6" si="1">H20</f>
        <v>60906.875</v>
      </c>
      <c r="J6" s="11">
        <f t="shared" si="1"/>
        <v>112860</v>
      </c>
      <c r="K6" s="11">
        <f t="shared" si="1"/>
        <v>180526.25</v>
      </c>
      <c r="L6" s="11">
        <f t="shared" si="1"/>
        <v>206933.75</v>
      </c>
      <c r="M6" s="11">
        <f t="shared" si="1"/>
        <v>214470.625</v>
      </c>
      <c r="N6" s="7">
        <f>B6</f>
        <v>68000</v>
      </c>
    </row>
    <row r="7" spans="1:14" ht="15" x14ac:dyDescent="0.25">
      <c r="A7" s="1" t="s">
        <v>65</v>
      </c>
      <c r="B7" s="5"/>
      <c r="C7" s="6"/>
      <c r="D7" s="6"/>
      <c r="E7" s="6"/>
      <c r="F7" s="6"/>
      <c r="N7" s="1"/>
    </row>
    <row r="8" spans="1:14" ht="16.8" x14ac:dyDescent="0.4">
      <c r="A8" s="14" t="s">
        <v>17</v>
      </c>
      <c r="B8" s="8">
        <f>'M-Sales Budget'!B15</f>
        <v>96200</v>
      </c>
      <c r="C8" s="8">
        <f>'M-Sales Budget'!C15</f>
        <v>77400</v>
      </c>
      <c r="D8" s="8">
        <f>'M-Sales Budget'!D15</f>
        <v>68400</v>
      </c>
      <c r="E8" s="8">
        <f>'M-Sales Budget'!E15</f>
        <v>91800</v>
      </c>
      <c r="F8" s="8">
        <f>'M-Sales Budget'!F15</f>
        <v>104400</v>
      </c>
      <c r="G8" s="8">
        <f>'M-Sales Budget'!G15</f>
        <v>145800</v>
      </c>
      <c r="H8" s="8">
        <f>'M-Sales Budget'!H15</f>
        <v>234000</v>
      </c>
      <c r="I8" s="8">
        <f>'M-Sales Budget'!I15</f>
        <v>273600</v>
      </c>
      <c r="J8" s="8">
        <f>'M-Sales Budget'!J15</f>
        <v>268200</v>
      </c>
      <c r="K8" s="8">
        <f>'M-Sales Budget'!K15</f>
        <v>180000</v>
      </c>
      <c r="L8" s="8">
        <f>'M-Sales Budget'!L15</f>
        <v>142200</v>
      </c>
      <c r="M8" s="8">
        <f>'M-Sales Budget'!M15</f>
        <v>127800</v>
      </c>
      <c r="N8" s="19">
        <f>SUM(B8:M8)</f>
        <v>1809800</v>
      </c>
    </row>
    <row r="9" spans="1:14" ht="16.8" x14ac:dyDescent="0.4">
      <c r="A9" s="15" t="s">
        <v>34</v>
      </c>
      <c r="B9" s="8">
        <f>B6+B8</f>
        <v>164200</v>
      </c>
      <c r="C9" s="8">
        <f>C6+C8</f>
        <v>142398.125</v>
      </c>
      <c r="D9" s="8">
        <f>D6+D8</f>
        <v>119433.125</v>
      </c>
      <c r="E9" s="8">
        <f>E6+E8</f>
        <v>121800</v>
      </c>
      <c r="F9" s="9">
        <f>F6+F8</f>
        <v>134400</v>
      </c>
      <c r="G9" s="9">
        <f t="shared" ref="G9:N9" si="2">G6+G8</f>
        <v>175800</v>
      </c>
      <c r="H9" s="9">
        <f t="shared" si="2"/>
        <v>264000</v>
      </c>
      <c r="I9" s="9">
        <f t="shared" si="2"/>
        <v>334506.875</v>
      </c>
      <c r="J9" s="9">
        <f t="shared" si="2"/>
        <v>381060</v>
      </c>
      <c r="K9" s="9">
        <f t="shared" si="2"/>
        <v>360526.25</v>
      </c>
      <c r="L9" s="9">
        <f t="shared" si="2"/>
        <v>349133.75</v>
      </c>
      <c r="M9" s="9">
        <f t="shared" si="2"/>
        <v>342270.625</v>
      </c>
      <c r="N9" s="9">
        <f t="shared" si="2"/>
        <v>1877800</v>
      </c>
    </row>
    <row r="10" spans="1:14" ht="15" x14ac:dyDescent="0.25">
      <c r="A10" s="15" t="s">
        <v>66</v>
      </c>
      <c r="B10" s="5"/>
      <c r="C10" s="6"/>
      <c r="D10" s="6"/>
      <c r="E10" s="6"/>
      <c r="F10" s="6"/>
      <c r="N10" s="1"/>
    </row>
    <row r="11" spans="1:14" ht="15" x14ac:dyDescent="0.25">
      <c r="A11" s="14" t="s">
        <v>115</v>
      </c>
      <c r="B11" s="3">
        <f>'M-Merchandise Purchases Budget'!B17</f>
        <v>46001.875</v>
      </c>
      <c r="C11" s="3">
        <f>'M-Merchandise Purchases Budget'!C17</f>
        <v>39765</v>
      </c>
      <c r="D11" s="3">
        <f>'M-Merchandise Purchases Budget'!D17</f>
        <v>40218.75</v>
      </c>
      <c r="E11" s="3">
        <f>'M-Merchandise Purchases Budget'!E17</f>
        <v>51851.250000000007</v>
      </c>
      <c r="F11" s="3">
        <f>'M-Merchandise Purchases Budget'!F17</f>
        <v>61875</v>
      </c>
      <c r="G11" s="3">
        <f>'M-Merchandise Purchases Budget'!G17</f>
        <v>89966.25</v>
      </c>
      <c r="H11" s="3">
        <f>'M-Merchandise Purchases Budget'!H17</f>
        <v>133093.125</v>
      </c>
      <c r="I11" s="3">
        <f>'M-Merchandise Purchases Budget'!I17</f>
        <v>150046.875</v>
      </c>
      <c r="J11" s="3">
        <f>'M-Merchandise Purchases Budget'!J17</f>
        <v>137733.75</v>
      </c>
      <c r="K11" s="3">
        <f>'M-Merchandise Purchases Budget'!K17</f>
        <v>94792.500000000015</v>
      </c>
      <c r="L11" s="3">
        <f>'M-Merchandise Purchases Budget'!L17</f>
        <v>76663.125</v>
      </c>
      <c r="M11" s="3">
        <f>'M-Merchandise Purchases Budget'!M17</f>
        <v>66845.625</v>
      </c>
      <c r="N11" s="34">
        <f>SUM(B11:M11)</f>
        <v>988853.125</v>
      </c>
    </row>
    <row r="12" spans="1:14" ht="16.8" x14ac:dyDescent="0.4">
      <c r="A12" s="14" t="s">
        <v>18</v>
      </c>
      <c r="B12" s="8">
        <f>'M-Selling &amp; Admin Budget'!B18</f>
        <v>53200</v>
      </c>
      <c r="C12" s="8">
        <f>'M-Selling &amp; Admin Budget'!C18</f>
        <v>51600</v>
      </c>
      <c r="D12" s="8">
        <f>'M-Selling &amp; Admin Budget'!D18</f>
        <v>54000</v>
      </c>
      <c r="E12" s="8">
        <f>'M-Selling &amp; Admin Budget'!E18</f>
        <v>54800</v>
      </c>
      <c r="F12" s="8">
        <f>'M-Selling &amp; Admin Budget'!F18</f>
        <v>57200</v>
      </c>
      <c r="G12" s="8">
        <f>'M-Selling &amp; Admin Budget'!G18</f>
        <v>66000</v>
      </c>
      <c r="H12" s="8">
        <f>'M-Selling &amp; Admin Budget'!H18</f>
        <v>70000</v>
      </c>
      <c r="I12" s="8">
        <f>'M-Selling &amp; Admin Budget'!I18</f>
        <v>71600</v>
      </c>
      <c r="J12" s="8">
        <f>'M-Selling &amp; Admin Budget'!J18</f>
        <v>62800</v>
      </c>
      <c r="K12" s="8">
        <f>'M-Selling &amp; Admin Budget'!K18</f>
        <v>58800</v>
      </c>
      <c r="L12" s="8">
        <f>'M-Selling &amp; Admin Budget'!L18</f>
        <v>58000</v>
      </c>
      <c r="M12" s="8">
        <f>'M-Selling &amp; Admin Budget'!M18</f>
        <v>54800</v>
      </c>
      <c r="N12" s="19">
        <f>SUM(B12:M12)</f>
        <v>712800</v>
      </c>
    </row>
    <row r="13" spans="1:14" ht="16.8" x14ac:dyDescent="0.4">
      <c r="A13" s="15" t="s">
        <v>67</v>
      </c>
      <c r="B13" s="8">
        <f>SUM(B11:B12)</f>
        <v>99201.875</v>
      </c>
      <c r="C13" s="8">
        <f>SUM(C11:C12)</f>
        <v>91365</v>
      </c>
      <c r="D13" s="8">
        <f>SUM(D11:D12)</f>
        <v>94218.75</v>
      </c>
      <c r="E13" s="8">
        <f>SUM(E11:E12)</f>
        <v>106651.25</v>
      </c>
      <c r="F13" s="9">
        <f>SUM(F11:F12)</f>
        <v>119075</v>
      </c>
      <c r="G13" s="9">
        <f t="shared" ref="G13:N13" si="3">SUM(G11:G12)</f>
        <v>155966.25</v>
      </c>
      <c r="H13" s="9">
        <f t="shared" si="3"/>
        <v>203093.125</v>
      </c>
      <c r="I13" s="9">
        <f t="shared" si="3"/>
        <v>221646.875</v>
      </c>
      <c r="J13" s="9">
        <f t="shared" si="3"/>
        <v>200533.75</v>
      </c>
      <c r="K13" s="9">
        <f t="shared" si="3"/>
        <v>153592.5</v>
      </c>
      <c r="L13" s="9">
        <f t="shared" si="3"/>
        <v>134663.125</v>
      </c>
      <c r="M13" s="9">
        <f t="shared" si="3"/>
        <v>121645.625</v>
      </c>
      <c r="N13" s="9">
        <f t="shared" si="3"/>
        <v>1701653.125</v>
      </c>
    </row>
    <row r="14" spans="1:14" ht="16.8" x14ac:dyDescent="0.4">
      <c r="A14" s="1" t="s">
        <v>4</v>
      </c>
      <c r="B14" s="8">
        <f>B9-B13</f>
        <v>64998.125</v>
      </c>
      <c r="C14" s="8">
        <f>C9-C13</f>
        <v>51033.125</v>
      </c>
      <c r="D14" s="8">
        <f>D9-D13</f>
        <v>25214.375</v>
      </c>
      <c r="E14" s="8">
        <f>E9-E13</f>
        <v>15148.75</v>
      </c>
      <c r="F14" s="8">
        <f>F9-F13</f>
        <v>15325</v>
      </c>
      <c r="G14" s="8">
        <f t="shared" ref="G14:N14" si="4">G9-G13</f>
        <v>19833.75</v>
      </c>
      <c r="H14" s="8">
        <f t="shared" si="4"/>
        <v>60906.875</v>
      </c>
      <c r="I14" s="8">
        <f t="shared" si="4"/>
        <v>112860</v>
      </c>
      <c r="J14" s="8">
        <f t="shared" si="4"/>
        <v>180526.25</v>
      </c>
      <c r="K14" s="8">
        <f t="shared" si="4"/>
        <v>206933.75</v>
      </c>
      <c r="L14" s="8">
        <f t="shared" si="4"/>
        <v>214470.625</v>
      </c>
      <c r="M14" s="8">
        <f t="shared" si="4"/>
        <v>220625</v>
      </c>
      <c r="N14" s="8">
        <f t="shared" si="4"/>
        <v>176146.875</v>
      </c>
    </row>
    <row r="15" spans="1:14" ht="15" x14ac:dyDescent="0.25">
      <c r="A15" s="1" t="s">
        <v>5</v>
      </c>
      <c r="B15" s="20"/>
      <c r="C15" s="6"/>
      <c r="D15" s="6"/>
      <c r="E15" s="6"/>
      <c r="F15" s="6"/>
      <c r="N15" s="1"/>
    </row>
    <row r="16" spans="1:14" ht="15" customHeight="1" x14ac:dyDescent="0.25">
      <c r="A16" s="14" t="s">
        <v>117</v>
      </c>
      <c r="B16" s="21">
        <f>IF(B14&gt;30000,0,IF(B14&lt;0,30000+ABS(B14),30000-B14))</f>
        <v>0</v>
      </c>
      <c r="C16" s="21">
        <f t="shared" ref="C16:M16" si="5">IF(C14&gt;30000,0,IF(C14&lt;0,30000+ABS(C14),30000-C14))</f>
        <v>0</v>
      </c>
      <c r="D16" s="21">
        <f t="shared" si="5"/>
        <v>4785.625</v>
      </c>
      <c r="E16" s="21">
        <f t="shared" si="5"/>
        <v>14851.25</v>
      </c>
      <c r="F16" s="21">
        <f t="shared" si="5"/>
        <v>14675</v>
      </c>
      <c r="G16" s="21">
        <f t="shared" si="5"/>
        <v>10166.25</v>
      </c>
      <c r="H16" s="21">
        <f t="shared" si="5"/>
        <v>0</v>
      </c>
      <c r="I16" s="21">
        <f t="shared" si="5"/>
        <v>0</v>
      </c>
      <c r="J16" s="21">
        <f t="shared" si="5"/>
        <v>0</v>
      </c>
      <c r="K16" s="21">
        <f t="shared" si="5"/>
        <v>0</v>
      </c>
      <c r="L16" s="21">
        <f t="shared" si="5"/>
        <v>0</v>
      </c>
      <c r="M16" s="21">
        <f t="shared" si="5"/>
        <v>0</v>
      </c>
      <c r="N16" s="34">
        <f>SUM(B16:M16)</f>
        <v>44478.125</v>
      </c>
    </row>
    <row r="17" spans="1:14" ht="15" customHeight="1" x14ac:dyDescent="0.25">
      <c r="A17" s="14" t="s">
        <v>39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3">
        <f>-SUM(B16:M16)</f>
        <v>-44478.125</v>
      </c>
      <c r="N17" s="34">
        <f>SUM(B17:M17)</f>
        <v>-44478.125</v>
      </c>
    </row>
    <row r="18" spans="1:14" ht="16.8" x14ac:dyDescent="0.4">
      <c r="A18" s="14" t="s">
        <v>118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8">
        <f>(-B16*0.12)+(-C16*0.11)+(-D16*0.1)+(-E16*0.09)+(-F16*0.08)+(-G16*0.07)+(-H16*0.06)+(-I16*0.05)+(-J16*0.04)+(-K16*0.03)+(-L16*0.02)+(-M16*0.01)</f>
        <v>-3700.8125</v>
      </c>
      <c r="N18" s="19">
        <f>SUM(B18:M18)</f>
        <v>-3700.8125</v>
      </c>
    </row>
    <row r="19" spans="1:14" ht="16.8" x14ac:dyDescent="0.4">
      <c r="A19" s="15" t="s">
        <v>19</v>
      </c>
      <c r="B19" s="13">
        <f>SUM(B16:B18)</f>
        <v>0</v>
      </c>
      <c r="C19" s="13">
        <f>SUM(C16:C18)</f>
        <v>0</v>
      </c>
      <c r="D19" s="13">
        <f t="shared" ref="D19:N19" si="6">SUM(D16:D18)</f>
        <v>4785.625</v>
      </c>
      <c r="E19" s="13">
        <f t="shared" si="6"/>
        <v>14851.25</v>
      </c>
      <c r="F19" s="13">
        <f t="shared" si="6"/>
        <v>14675</v>
      </c>
      <c r="G19" s="13">
        <f t="shared" si="6"/>
        <v>10166.25</v>
      </c>
      <c r="H19" s="13">
        <f t="shared" si="6"/>
        <v>0</v>
      </c>
      <c r="I19" s="13">
        <f t="shared" si="6"/>
        <v>0</v>
      </c>
      <c r="J19" s="13">
        <f t="shared" si="6"/>
        <v>0</v>
      </c>
      <c r="K19" s="13">
        <f t="shared" si="6"/>
        <v>0</v>
      </c>
      <c r="L19" s="13">
        <f t="shared" si="6"/>
        <v>0</v>
      </c>
      <c r="M19" s="8">
        <f t="shared" si="6"/>
        <v>-48178.9375</v>
      </c>
      <c r="N19" s="8">
        <f t="shared" si="6"/>
        <v>-3700.8125</v>
      </c>
    </row>
    <row r="20" spans="1:14" ht="16.8" x14ac:dyDescent="0.4">
      <c r="A20" s="1" t="s">
        <v>68</v>
      </c>
      <c r="B20" s="16">
        <f>B14+B19</f>
        <v>64998.125</v>
      </c>
      <c r="C20" s="16">
        <f>C14+C19</f>
        <v>51033.125</v>
      </c>
      <c r="D20" s="16">
        <f>D14+D19</f>
        <v>30000</v>
      </c>
      <c r="E20" s="16">
        <f>E14+E19</f>
        <v>30000</v>
      </c>
      <c r="F20" s="16">
        <f>F14+F19</f>
        <v>30000</v>
      </c>
      <c r="G20" s="16">
        <f t="shared" ref="G20:N20" si="7">G14+G19</f>
        <v>30000</v>
      </c>
      <c r="H20" s="16">
        <f t="shared" si="7"/>
        <v>60906.875</v>
      </c>
      <c r="I20" s="16">
        <f t="shared" si="7"/>
        <v>112860</v>
      </c>
      <c r="J20" s="16">
        <f t="shared" si="7"/>
        <v>180526.25</v>
      </c>
      <c r="K20" s="16">
        <f t="shared" si="7"/>
        <v>206933.75</v>
      </c>
      <c r="L20" s="16">
        <f t="shared" si="7"/>
        <v>214470.625</v>
      </c>
      <c r="M20" s="16">
        <f t="shared" si="7"/>
        <v>172446.0625</v>
      </c>
      <c r="N20" s="16">
        <f t="shared" si="7"/>
        <v>172446.0625</v>
      </c>
    </row>
  </sheetData>
  <mergeCells count="3">
    <mergeCell ref="A1:N1"/>
    <mergeCell ref="A2:N2"/>
    <mergeCell ref="A3:N3"/>
  </mergeCells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39997558519241921"/>
  </sheetPr>
  <dimension ref="A1:N20"/>
  <sheetViews>
    <sheetView zoomScaleNormal="100" workbookViewId="0">
      <selection activeCell="D33" sqref="D33"/>
    </sheetView>
  </sheetViews>
  <sheetFormatPr defaultRowHeight="13.2" x14ac:dyDescent="0.25"/>
  <cols>
    <col min="1" max="1" width="59.44140625" bestFit="1" customWidth="1"/>
    <col min="2" max="13" width="15" customWidth="1"/>
    <col min="14" max="14" width="12.88671875" bestFit="1" customWidth="1"/>
  </cols>
  <sheetData>
    <row r="1" spans="1:14" ht="15.6" x14ac:dyDescent="0.3">
      <c r="A1" s="80" t="s">
        <v>77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ht="15.6" x14ac:dyDescent="0.3">
      <c r="A2" s="80" t="s">
        <v>149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ht="15.6" x14ac:dyDescent="0.3">
      <c r="A3" s="80" t="s">
        <v>95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4" ht="15" x14ac:dyDescent="0.25">
      <c r="A4" s="10"/>
      <c r="B4" s="5"/>
      <c r="C4" s="10"/>
      <c r="D4" s="10"/>
      <c r="E4" s="10"/>
      <c r="F4" s="10"/>
    </row>
    <row r="5" spans="1:14" ht="15.6" x14ac:dyDescent="0.3">
      <c r="A5" s="1"/>
      <c r="B5" s="2" t="s">
        <v>80</v>
      </c>
      <c r="C5" s="2" t="s">
        <v>81</v>
      </c>
      <c r="D5" s="2" t="s">
        <v>82</v>
      </c>
      <c r="E5" s="2" t="s">
        <v>83</v>
      </c>
      <c r="F5" s="2" t="s">
        <v>99</v>
      </c>
      <c r="G5" s="2" t="s">
        <v>85</v>
      </c>
      <c r="H5" s="2" t="s">
        <v>86</v>
      </c>
      <c r="I5" s="2" t="s">
        <v>87</v>
      </c>
      <c r="J5" s="2" t="s">
        <v>88</v>
      </c>
      <c r="K5" s="2" t="s">
        <v>89</v>
      </c>
      <c r="L5" s="2" t="s">
        <v>90</v>
      </c>
      <c r="M5" s="2" t="s">
        <v>91</v>
      </c>
      <c r="N5" s="2" t="s">
        <v>53</v>
      </c>
    </row>
    <row r="6" spans="1:14" ht="15" x14ac:dyDescent="0.25">
      <c r="A6" s="1" t="s">
        <v>64</v>
      </c>
      <c r="B6" s="11">
        <f>'Beginning Balance Sheet'!B7</f>
        <v>68000</v>
      </c>
      <c r="C6" s="11">
        <f t="shared" ref="C6:M6" si="0">B20</f>
        <v>64926.25</v>
      </c>
      <c r="D6" s="11">
        <f t="shared" si="0"/>
        <v>48763.125</v>
      </c>
      <c r="E6" s="11">
        <f t="shared" si="0"/>
        <v>30000</v>
      </c>
      <c r="F6" s="11">
        <f t="shared" si="0"/>
        <v>30000</v>
      </c>
      <c r="G6" s="11">
        <f t="shared" si="0"/>
        <v>30000</v>
      </c>
      <c r="H6" s="11">
        <f t="shared" si="0"/>
        <v>30000</v>
      </c>
      <c r="I6" s="11">
        <f t="shared" si="0"/>
        <v>72573.28125</v>
      </c>
      <c r="J6" s="11">
        <f t="shared" si="0"/>
        <v>135551.0625</v>
      </c>
      <c r="K6" s="11">
        <f t="shared" si="0"/>
        <v>212469.96875</v>
      </c>
      <c r="L6" s="11">
        <f t="shared" si="0"/>
        <v>247801.59375</v>
      </c>
      <c r="M6" s="11">
        <f t="shared" si="0"/>
        <v>266433.59375</v>
      </c>
      <c r="N6" s="7">
        <f>B6</f>
        <v>68000</v>
      </c>
    </row>
    <row r="7" spans="1:14" ht="15" x14ac:dyDescent="0.25">
      <c r="A7" s="1" t="s">
        <v>65</v>
      </c>
      <c r="B7" s="5"/>
      <c r="C7" s="6"/>
      <c r="D7" s="6"/>
      <c r="E7" s="6"/>
      <c r="F7" s="6"/>
      <c r="N7" s="1"/>
    </row>
    <row r="8" spans="1:14" ht="16.8" x14ac:dyDescent="0.4">
      <c r="A8" s="14" t="s">
        <v>17</v>
      </c>
      <c r="B8" s="8">
        <f>'F-Sales Budget'!B15</f>
        <v>94400</v>
      </c>
      <c r="C8" s="8">
        <f>'F-Sales Budget'!C15</f>
        <v>68400</v>
      </c>
      <c r="D8" s="8">
        <f>'F-Sales Budget'!D15</f>
        <v>59400</v>
      </c>
      <c r="E8" s="8">
        <f>'F-Sales Budget'!E15</f>
        <v>82800</v>
      </c>
      <c r="F8" s="8">
        <f>'F-Sales Budget'!F15</f>
        <v>93600</v>
      </c>
      <c r="G8" s="8">
        <f>'F-Sales Budget'!G15</f>
        <v>137700</v>
      </c>
      <c r="H8" s="8">
        <f>'F-Sales Budget'!H15</f>
        <v>265050</v>
      </c>
      <c r="I8" s="8">
        <f>'F-Sales Budget'!I15</f>
        <v>301950</v>
      </c>
      <c r="J8" s="8">
        <f>'F-Sales Budget'!J15</f>
        <v>292320</v>
      </c>
      <c r="K8" s="8">
        <f>'F-Sales Budget'!K15</f>
        <v>201240</v>
      </c>
      <c r="L8" s="8">
        <f>'F-Sales Budget'!L15</f>
        <v>152640</v>
      </c>
      <c r="M8" s="8">
        <f>'F-Sales Budget'!M15</f>
        <v>102600</v>
      </c>
      <c r="N8" s="19">
        <f>SUM(B8:M8)</f>
        <v>1852100</v>
      </c>
    </row>
    <row r="9" spans="1:14" ht="16.8" x14ac:dyDescent="0.4">
      <c r="A9" s="15" t="s">
        <v>34</v>
      </c>
      <c r="B9" s="8">
        <f>B6+B8</f>
        <v>162400</v>
      </c>
      <c r="C9" s="8">
        <f>C6+C8</f>
        <v>133326.25</v>
      </c>
      <c r="D9" s="8">
        <f>D6+D8</f>
        <v>108163.125</v>
      </c>
      <c r="E9" s="8">
        <f>E6+E8</f>
        <v>112800</v>
      </c>
      <c r="F9" s="9">
        <f>F6+F8</f>
        <v>123600</v>
      </c>
      <c r="G9" s="9">
        <f t="shared" ref="G9:N9" si="1">G6+G8</f>
        <v>167700</v>
      </c>
      <c r="H9" s="9">
        <f t="shared" si="1"/>
        <v>295050</v>
      </c>
      <c r="I9" s="9">
        <f t="shared" si="1"/>
        <v>374523.28125</v>
      </c>
      <c r="J9" s="9">
        <f t="shared" si="1"/>
        <v>427871.0625</v>
      </c>
      <c r="K9" s="9">
        <f t="shared" si="1"/>
        <v>413709.96875</v>
      </c>
      <c r="L9" s="9">
        <f t="shared" si="1"/>
        <v>400441.59375</v>
      </c>
      <c r="M9" s="9">
        <f t="shared" si="1"/>
        <v>369033.59375</v>
      </c>
      <c r="N9" s="9">
        <f t="shared" si="1"/>
        <v>1920100</v>
      </c>
    </row>
    <row r="10" spans="1:14" ht="15" x14ac:dyDescent="0.25">
      <c r="A10" s="15" t="s">
        <v>66</v>
      </c>
      <c r="B10" s="5"/>
      <c r="C10" s="6"/>
      <c r="D10" s="6"/>
      <c r="E10" s="6"/>
      <c r="F10" s="6"/>
      <c r="N10" s="1"/>
    </row>
    <row r="11" spans="1:14" ht="15" x14ac:dyDescent="0.25">
      <c r="A11" s="14" t="s">
        <v>115</v>
      </c>
      <c r="B11" s="3">
        <f>'F-Merchandise Purchases Budget'!B17</f>
        <v>45073.75</v>
      </c>
      <c r="C11" s="3">
        <f>'F-Merchandise Purchases Budget'!C17</f>
        <v>33763.125</v>
      </c>
      <c r="D11" s="3">
        <f>'F-Merchandise Purchases Budget'!D17</f>
        <v>35268.75</v>
      </c>
      <c r="E11" s="3">
        <f>'F-Merchandise Purchases Budget'!E17</f>
        <v>46715.625</v>
      </c>
      <c r="F11" s="3">
        <f>'F-Merchandise Purchases Budget'!F17</f>
        <v>56151.562500000007</v>
      </c>
      <c r="G11" s="3">
        <f>'F-Merchandise Purchases Budget'!G17</f>
        <v>89888.90625</v>
      </c>
      <c r="H11" s="3">
        <f>'F-Merchandise Purchases Budget'!H17</f>
        <v>149876.71875</v>
      </c>
      <c r="I11" s="3">
        <f>'F-Merchandise Purchases Budget'!I17</f>
        <v>165172.21875</v>
      </c>
      <c r="J11" s="3">
        <f>'F-Merchandise Purchases Budget'!J17</f>
        <v>150681.09375</v>
      </c>
      <c r="K11" s="3">
        <f>'F-Merchandise Purchases Budget'!K17</f>
        <v>105348.375</v>
      </c>
      <c r="L11" s="3">
        <f>'F-Merchandise Purchases Budget'!L17</f>
        <v>78408</v>
      </c>
      <c r="M11" s="3">
        <f>'F-Merchandise Purchases Budget'!M17</f>
        <v>54161.25</v>
      </c>
      <c r="N11" s="34">
        <f>SUM(B11:M11)</f>
        <v>1010509.375</v>
      </c>
    </row>
    <row r="12" spans="1:14" ht="16.8" x14ac:dyDescent="0.4">
      <c r="A12" s="14" t="s">
        <v>18</v>
      </c>
      <c r="B12" s="8">
        <f>'F-Selling &amp; Admin Budget'!B18</f>
        <v>52400</v>
      </c>
      <c r="C12" s="8">
        <f>'F-Selling &amp; Admin Budget'!C18</f>
        <v>50800</v>
      </c>
      <c r="D12" s="8">
        <f>'F-Selling &amp; Admin Budget'!D18</f>
        <v>53200</v>
      </c>
      <c r="E12" s="8">
        <f>'F-Selling &amp; Admin Budget'!E18</f>
        <v>54000</v>
      </c>
      <c r="F12" s="8">
        <f>'F-Selling &amp; Admin Budget'!F18</f>
        <v>55600</v>
      </c>
      <c r="G12" s="8">
        <f>'F-Selling &amp; Admin Budget'!G18</f>
        <v>68800</v>
      </c>
      <c r="H12" s="8">
        <f>'F-Selling &amp; Admin Budget'!H18</f>
        <v>72600</v>
      </c>
      <c r="I12" s="8">
        <f>'F-Selling &amp; Admin Budget'!I18</f>
        <v>73800</v>
      </c>
      <c r="J12" s="8">
        <f>'F-Selling &amp; Admin Budget'!J18</f>
        <v>64720</v>
      </c>
      <c r="K12" s="8">
        <f>'F-Selling &amp; Admin Budget'!K18</f>
        <v>60560</v>
      </c>
      <c r="L12" s="8">
        <f>'F-Selling &amp; Admin Budget'!L18</f>
        <v>55600</v>
      </c>
      <c r="M12" s="8">
        <f>'F-Selling &amp; Admin Budget'!M18</f>
        <v>53200</v>
      </c>
      <c r="N12" s="19">
        <f>SUM(B12:M12)</f>
        <v>715280</v>
      </c>
    </row>
    <row r="13" spans="1:14" ht="16.8" x14ac:dyDescent="0.4">
      <c r="A13" s="15" t="s">
        <v>67</v>
      </c>
      <c r="B13" s="8">
        <f>SUM(B11:B12)</f>
        <v>97473.75</v>
      </c>
      <c r="C13" s="8">
        <f>SUM(C11:C12)</f>
        <v>84563.125</v>
      </c>
      <c r="D13" s="8">
        <f>SUM(D11:D12)</f>
        <v>88468.75</v>
      </c>
      <c r="E13" s="8">
        <f>SUM(E11:E12)</f>
        <v>100715.625</v>
      </c>
      <c r="F13" s="9">
        <f>SUM(F11:F12)</f>
        <v>111751.5625</v>
      </c>
      <c r="G13" s="9">
        <f t="shared" ref="G13:N13" si="2">SUM(G11:G12)</f>
        <v>158688.90625</v>
      </c>
      <c r="H13" s="9">
        <f t="shared" si="2"/>
        <v>222476.71875</v>
      </c>
      <c r="I13" s="9">
        <f t="shared" si="2"/>
        <v>238972.21875</v>
      </c>
      <c r="J13" s="9">
        <f t="shared" si="2"/>
        <v>215401.09375</v>
      </c>
      <c r="K13" s="9">
        <f t="shared" si="2"/>
        <v>165908.375</v>
      </c>
      <c r="L13" s="9">
        <f t="shared" si="2"/>
        <v>134008</v>
      </c>
      <c r="M13" s="9">
        <f t="shared" si="2"/>
        <v>107361.25</v>
      </c>
      <c r="N13" s="9">
        <f t="shared" si="2"/>
        <v>1725789.375</v>
      </c>
    </row>
    <row r="14" spans="1:14" ht="16.8" x14ac:dyDescent="0.4">
      <c r="A14" s="1" t="s">
        <v>4</v>
      </c>
      <c r="B14" s="8">
        <f>B9-B13</f>
        <v>64926.25</v>
      </c>
      <c r="C14" s="8">
        <f>C9-C13</f>
        <v>48763.125</v>
      </c>
      <c r="D14" s="8">
        <f>D9-D13</f>
        <v>19694.375</v>
      </c>
      <c r="E14" s="8">
        <f>E9-E13</f>
        <v>12084.375</v>
      </c>
      <c r="F14" s="8">
        <f>F9-F13</f>
        <v>11848.4375</v>
      </c>
      <c r="G14" s="8">
        <f t="shared" ref="G14:N14" si="3">G9-G13</f>
        <v>9011.09375</v>
      </c>
      <c r="H14" s="8">
        <f t="shared" si="3"/>
        <v>72573.28125</v>
      </c>
      <c r="I14" s="8">
        <f t="shared" si="3"/>
        <v>135551.0625</v>
      </c>
      <c r="J14" s="8">
        <f t="shared" si="3"/>
        <v>212469.96875</v>
      </c>
      <c r="K14" s="8">
        <f t="shared" si="3"/>
        <v>247801.59375</v>
      </c>
      <c r="L14" s="8">
        <f t="shared" si="3"/>
        <v>266433.59375</v>
      </c>
      <c r="M14" s="8">
        <f t="shared" si="3"/>
        <v>261672.34375</v>
      </c>
      <c r="N14" s="8">
        <f t="shared" si="3"/>
        <v>194310.625</v>
      </c>
    </row>
    <row r="15" spans="1:14" ht="15" x14ac:dyDescent="0.25">
      <c r="A15" s="1" t="s">
        <v>5</v>
      </c>
      <c r="B15" s="20"/>
      <c r="C15" s="6"/>
      <c r="D15" s="6"/>
      <c r="E15" s="6"/>
      <c r="F15" s="6"/>
      <c r="N15" s="1"/>
    </row>
    <row r="16" spans="1:14" ht="15" customHeight="1" x14ac:dyDescent="0.25">
      <c r="A16" s="14" t="s">
        <v>117</v>
      </c>
      <c r="B16" s="21">
        <f>IF(B14&gt;30000,0,IF(B14&lt;0,30000+ABS(B14),30000-B14))</f>
        <v>0</v>
      </c>
      <c r="C16" s="21">
        <f t="shared" ref="C16:M16" si="4">IF(C14&gt;30000,0,IF(C14&lt;0,30000+ABS(C14),30000-C14))</f>
        <v>0</v>
      </c>
      <c r="D16" s="21">
        <f t="shared" si="4"/>
        <v>10305.625</v>
      </c>
      <c r="E16" s="21">
        <f t="shared" si="4"/>
        <v>17915.625</v>
      </c>
      <c r="F16" s="21">
        <f t="shared" si="4"/>
        <v>18151.5625</v>
      </c>
      <c r="G16" s="21">
        <f t="shared" si="4"/>
        <v>20988.90625</v>
      </c>
      <c r="H16" s="21">
        <f t="shared" si="4"/>
        <v>0</v>
      </c>
      <c r="I16" s="21">
        <f t="shared" si="4"/>
        <v>0</v>
      </c>
      <c r="J16" s="21">
        <f t="shared" si="4"/>
        <v>0</v>
      </c>
      <c r="K16" s="21">
        <f t="shared" si="4"/>
        <v>0</v>
      </c>
      <c r="L16" s="21">
        <f t="shared" si="4"/>
        <v>0</v>
      </c>
      <c r="M16" s="21">
        <f t="shared" si="4"/>
        <v>0</v>
      </c>
      <c r="N16" s="34">
        <f>SUM(B16:M16)</f>
        <v>67361.71875</v>
      </c>
    </row>
    <row r="17" spans="1:14" ht="15" customHeight="1" x14ac:dyDescent="0.25">
      <c r="A17" s="14" t="s">
        <v>39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3">
        <f>-SUM(B16:M16)</f>
        <v>-67361.71875</v>
      </c>
      <c r="N17" s="34">
        <f>SUM(B17:M17)</f>
        <v>-67361.71875</v>
      </c>
    </row>
    <row r="18" spans="1:14" ht="16.8" x14ac:dyDescent="0.4">
      <c r="A18" s="14" t="s">
        <v>118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8">
        <f>(-B16*0.12)+(-C16*0.11)+(-D16*0.1)+(-E16*0.09)+(-F16*0.08)+(-G16*0.07)+(-H16*0.06)+(-I16*0.05)+(-J16*0.04)+(-K16*0.03)+(-L16*0.02)+(-M16*0.01)</f>
        <v>-5564.3171874999998</v>
      </c>
      <c r="N18" s="19">
        <f>SUM(B18:M18)</f>
        <v>-5564.3171874999998</v>
      </c>
    </row>
    <row r="19" spans="1:14" ht="16.8" x14ac:dyDescent="0.4">
      <c r="A19" s="15" t="s">
        <v>19</v>
      </c>
      <c r="B19" s="13">
        <f>SUM(B16:B18)</f>
        <v>0</v>
      </c>
      <c r="C19" s="13">
        <f>SUM(C16:C18)</f>
        <v>0</v>
      </c>
      <c r="D19" s="13">
        <f t="shared" ref="D19:N19" si="5">SUM(D16:D18)</f>
        <v>10305.625</v>
      </c>
      <c r="E19" s="13">
        <f t="shared" si="5"/>
        <v>17915.625</v>
      </c>
      <c r="F19" s="13">
        <f t="shared" si="5"/>
        <v>18151.5625</v>
      </c>
      <c r="G19" s="13">
        <f t="shared" si="5"/>
        <v>20988.90625</v>
      </c>
      <c r="H19" s="13">
        <f t="shared" si="5"/>
        <v>0</v>
      </c>
      <c r="I19" s="13">
        <f t="shared" si="5"/>
        <v>0</v>
      </c>
      <c r="J19" s="13">
        <f t="shared" si="5"/>
        <v>0</v>
      </c>
      <c r="K19" s="13">
        <f t="shared" si="5"/>
        <v>0</v>
      </c>
      <c r="L19" s="13">
        <f t="shared" si="5"/>
        <v>0</v>
      </c>
      <c r="M19" s="8">
        <f t="shared" si="5"/>
        <v>-72926.035937499997</v>
      </c>
      <c r="N19" s="8">
        <f t="shared" si="5"/>
        <v>-5564.3171874999998</v>
      </c>
    </row>
    <row r="20" spans="1:14" ht="16.8" x14ac:dyDescent="0.4">
      <c r="A20" s="1" t="s">
        <v>68</v>
      </c>
      <c r="B20" s="16">
        <f>B14+B19</f>
        <v>64926.25</v>
      </c>
      <c r="C20" s="16">
        <f>C14+C19</f>
        <v>48763.125</v>
      </c>
      <c r="D20" s="16">
        <f>D14+D19</f>
        <v>30000</v>
      </c>
      <c r="E20" s="16">
        <f>E14+E19</f>
        <v>30000</v>
      </c>
      <c r="F20" s="16">
        <f>F14+F19</f>
        <v>30000</v>
      </c>
      <c r="G20" s="16">
        <f t="shared" ref="G20:N20" si="6">G14+G19</f>
        <v>30000</v>
      </c>
      <c r="H20" s="16">
        <f t="shared" si="6"/>
        <v>72573.28125</v>
      </c>
      <c r="I20" s="16">
        <f t="shared" si="6"/>
        <v>135551.0625</v>
      </c>
      <c r="J20" s="16">
        <f t="shared" si="6"/>
        <v>212469.96875</v>
      </c>
      <c r="K20" s="16">
        <f t="shared" si="6"/>
        <v>247801.59375</v>
      </c>
      <c r="L20" s="16">
        <f t="shared" si="6"/>
        <v>266433.59375</v>
      </c>
      <c r="M20" s="16">
        <f t="shared" si="6"/>
        <v>188746.30781249999</v>
      </c>
      <c r="N20" s="16">
        <f t="shared" si="6"/>
        <v>188746.30781249999</v>
      </c>
    </row>
  </sheetData>
  <mergeCells count="3">
    <mergeCell ref="A1:N1"/>
    <mergeCell ref="A2:N2"/>
    <mergeCell ref="A3:N3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7" tint="0.39997558519241921"/>
  </sheetPr>
  <dimension ref="A1:N20"/>
  <sheetViews>
    <sheetView workbookViewId="0">
      <selection activeCell="G25" sqref="G25"/>
    </sheetView>
  </sheetViews>
  <sheetFormatPr defaultRowHeight="13.2" x14ac:dyDescent="0.25"/>
  <cols>
    <col min="1" max="1" width="59.44140625" bestFit="1" customWidth="1"/>
    <col min="2" max="13" width="15" customWidth="1"/>
    <col min="14" max="14" width="12.88671875" bestFit="1" customWidth="1"/>
  </cols>
  <sheetData>
    <row r="1" spans="1:14" ht="15.6" x14ac:dyDescent="0.3">
      <c r="A1" s="80" t="s">
        <v>77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ht="15.6" x14ac:dyDescent="0.3">
      <c r="A2" s="80" t="s">
        <v>156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ht="15.6" x14ac:dyDescent="0.3">
      <c r="A3" s="80" t="s">
        <v>95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4" ht="15" x14ac:dyDescent="0.25">
      <c r="A4" s="10"/>
      <c r="B4" s="5"/>
      <c r="C4" s="10"/>
      <c r="D4" s="10"/>
      <c r="E4" s="10"/>
      <c r="F4" s="10"/>
    </row>
    <row r="5" spans="1:14" ht="15.6" x14ac:dyDescent="0.3">
      <c r="A5" s="1"/>
      <c r="B5" s="2" t="s">
        <v>80</v>
      </c>
      <c r="C5" s="2" t="s">
        <v>81</v>
      </c>
      <c r="D5" s="2" t="s">
        <v>82</v>
      </c>
      <c r="E5" s="2" t="s">
        <v>83</v>
      </c>
      <c r="F5" s="2" t="s">
        <v>99</v>
      </c>
      <c r="G5" s="2" t="s">
        <v>85</v>
      </c>
      <c r="H5" s="2" t="s">
        <v>86</v>
      </c>
      <c r="I5" s="2" t="s">
        <v>87</v>
      </c>
      <c r="J5" s="2" t="s">
        <v>88</v>
      </c>
      <c r="K5" s="2" t="s">
        <v>89</v>
      </c>
      <c r="L5" s="2" t="s">
        <v>90</v>
      </c>
      <c r="M5" s="2" t="s">
        <v>91</v>
      </c>
      <c r="N5" s="2" t="s">
        <v>53</v>
      </c>
    </row>
    <row r="6" spans="1:14" ht="15" x14ac:dyDescent="0.25">
      <c r="A6" s="1" t="s">
        <v>64</v>
      </c>
      <c r="B6" s="11">
        <f>'[1]Beginning Balance Sheet'!B7</f>
        <v>68000</v>
      </c>
      <c r="C6" s="11">
        <f t="shared" ref="C6:M6" si="0">B20</f>
        <v>62082.595200000011</v>
      </c>
      <c r="D6" s="11">
        <f t="shared" si="0"/>
        <v>40783.219580000004</v>
      </c>
      <c r="E6" s="11">
        <f t="shared" si="0"/>
        <v>30000</v>
      </c>
      <c r="F6" s="11">
        <f t="shared" si="0"/>
        <v>30000</v>
      </c>
      <c r="G6" s="11">
        <f t="shared" si="0"/>
        <v>30000</v>
      </c>
      <c r="H6" s="11">
        <f t="shared" si="0"/>
        <v>30000</v>
      </c>
      <c r="I6" s="11">
        <f t="shared" si="0"/>
        <v>56648.480625000026</v>
      </c>
      <c r="J6" s="11">
        <f t="shared" si="0"/>
        <v>115093.62397499999</v>
      </c>
      <c r="K6" s="11">
        <f t="shared" si="0"/>
        <v>193729.17522499998</v>
      </c>
      <c r="L6" s="11">
        <f t="shared" si="0"/>
        <v>230303.43887499999</v>
      </c>
      <c r="M6" s="11">
        <f t="shared" si="0"/>
        <v>249331.83543749998</v>
      </c>
      <c r="N6" s="7">
        <f>B6</f>
        <v>68000</v>
      </c>
    </row>
    <row r="7" spans="1:14" ht="15" x14ac:dyDescent="0.25">
      <c r="A7" s="1" t="s">
        <v>65</v>
      </c>
      <c r="B7" s="5"/>
      <c r="C7" s="6"/>
      <c r="D7" s="6"/>
      <c r="E7" s="6"/>
      <c r="F7" s="6"/>
      <c r="N7" s="1"/>
    </row>
    <row r="8" spans="1:14" ht="16.8" x14ac:dyDescent="0.4">
      <c r="A8" s="14" t="s">
        <v>17</v>
      </c>
      <c r="B8" s="8">
        <f>'[1]F-Sales Budget'!B15</f>
        <v>92096</v>
      </c>
      <c r="C8" s="8">
        <f>'[1]F-Sales Budget'!C15</f>
        <v>64068.000000000007</v>
      </c>
      <c r="D8" s="8">
        <f>'[1]F-Sales Budget'!D15</f>
        <v>53841</v>
      </c>
      <c r="E8" s="8">
        <f>'[1]F-Sales Budget'!E15</f>
        <v>78455</v>
      </c>
      <c r="F8" s="8">
        <f>'[1]F-Sales Budget'!F15</f>
        <v>90662</v>
      </c>
      <c r="G8" s="8">
        <f>'[1]F-Sales Budget'!G15</f>
        <v>131500.5</v>
      </c>
      <c r="H8" s="8">
        <f>'[1]F-Sales Budget'!H15</f>
        <v>262057.5</v>
      </c>
      <c r="I8" s="8">
        <f>'[1]F-Sales Budget'!I15</f>
        <v>301410</v>
      </c>
      <c r="J8" s="8">
        <f>'[1]F-Sales Budget'!J15</f>
        <v>296406</v>
      </c>
      <c r="K8" s="8">
        <f>'[1]F-Sales Budget'!K15</f>
        <v>204750</v>
      </c>
      <c r="L8" s="8">
        <f>'[1]F-Sales Budget'!L15</f>
        <v>155178</v>
      </c>
      <c r="M8" s="8">
        <f>'[1]F-Sales Budget'!M15</f>
        <v>100963.5</v>
      </c>
      <c r="N8" s="19">
        <f>SUM(B8:M8)</f>
        <v>1831387.5</v>
      </c>
    </row>
    <row r="9" spans="1:14" ht="16.8" x14ac:dyDescent="0.4">
      <c r="A9" s="15" t="s">
        <v>34</v>
      </c>
      <c r="B9" s="8">
        <f>B6+B8</f>
        <v>160096</v>
      </c>
      <c r="C9" s="8">
        <f>C6+C8</f>
        <v>126150.59520000001</v>
      </c>
      <c r="D9" s="8">
        <f>D6+D8</f>
        <v>94624.219580000004</v>
      </c>
      <c r="E9" s="8">
        <f>E6+E8</f>
        <v>108455</v>
      </c>
      <c r="F9" s="9">
        <f>F6+F8</f>
        <v>120662</v>
      </c>
      <c r="G9" s="9">
        <f t="shared" ref="G9:N9" si="1">G6+G8</f>
        <v>161500.5</v>
      </c>
      <c r="H9" s="9">
        <f t="shared" si="1"/>
        <v>292057.5</v>
      </c>
      <c r="I9" s="9">
        <f t="shared" si="1"/>
        <v>358058.48062500003</v>
      </c>
      <c r="J9" s="9">
        <f t="shared" si="1"/>
        <v>411499.62397499999</v>
      </c>
      <c r="K9" s="9">
        <f t="shared" si="1"/>
        <v>398479.17522500001</v>
      </c>
      <c r="L9" s="9">
        <f t="shared" si="1"/>
        <v>385481.43887499999</v>
      </c>
      <c r="M9" s="9">
        <f t="shared" si="1"/>
        <v>350295.33543749998</v>
      </c>
      <c r="N9" s="9">
        <f t="shared" si="1"/>
        <v>1899387.5</v>
      </c>
    </row>
    <row r="10" spans="1:14" ht="15" x14ac:dyDescent="0.25">
      <c r="A10" s="15" t="s">
        <v>66</v>
      </c>
      <c r="B10" s="5"/>
      <c r="C10" s="6"/>
      <c r="D10" s="6"/>
      <c r="E10" s="6"/>
      <c r="F10" s="6"/>
      <c r="N10" s="1"/>
    </row>
    <row r="11" spans="1:14" ht="15" x14ac:dyDescent="0.25">
      <c r="A11" s="14" t="s">
        <v>115</v>
      </c>
      <c r="B11" s="3">
        <f>'[1]F-Merchandise Purchases Budget'!B17</f>
        <v>45213.404799999997</v>
      </c>
      <c r="C11" s="3">
        <f>'[1]F-Merchandise Purchases Budget'!C17</f>
        <v>34267.375619999999</v>
      </c>
      <c r="D11" s="3">
        <f>'[1]F-Merchandise Purchases Budget'!D17</f>
        <v>35833.969004999999</v>
      </c>
      <c r="E11" s="3">
        <f>'[1]F-Merchandise Purchases Budget'!E17</f>
        <v>48650.326574999992</v>
      </c>
      <c r="F11" s="3">
        <f>'[1]F-Merchandise Purchases Budget'!F17</f>
        <v>57219.826499999996</v>
      </c>
      <c r="G11" s="3">
        <f>'[1]F-Merchandise Purchases Budget'!G17</f>
        <v>94059.399375000008</v>
      </c>
      <c r="H11" s="3">
        <f>'[1]F-Merchandise Purchases Budget'!H17</f>
        <v>152984.01937499997</v>
      </c>
      <c r="I11" s="3">
        <f>'[1]F-Merchandise Purchases Budget'!I17</f>
        <v>159189.85665000003</v>
      </c>
      <c r="J11" s="3">
        <f>'[1]F-Merchandise Purchases Budget'!J17</f>
        <v>149210.44875000001</v>
      </c>
      <c r="K11" s="3">
        <f>'[1]F-Merchandise Purchases Budget'!K17</f>
        <v>104295.73635000002</v>
      </c>
      <c r="L11" s="3">
        <f>'[1]F-Merchandise Purchases Budget'!L17</f>
        <v>77849.603437500016</v>
      </c>
      <c r="M11" s="3">
        <f>'[1]F-Merchandise Purchases Budget'!M17</f>
        <v>54254.101282500007</v>
      </c>
      <c r="N11" s="34">
        <f>SUM(B11:M11)</f>
        <v>1013028.0677199999</v>
      </c>
    </row>
    <row r="12" spans="1:14" ht="16.8" x14ac:dyDescent="0.4">
      <c r="A12" s="14" t="s">
        <v>18</v>
      </c>
      <c r="B12" s="8">
        <f>'[1]F-Selling &amp; Admin Budget'!B18</f>
        <v>52800</v>
      </c>
      <c r="C12" s="8">
        <f>'[1]F-Selling &amp; Admin Budget'!C18</f>
        <v>51100</v>
      </c>
      <c r="D12" s="8">
        <f>'[1]F-Selling &amp; Admin Budget'!D18</f>
        <v>53650</v>
      </c>
      <c r="E12" s="8">
        <f>'[1]F-Selling &amp; Admin Budget'!E18</f>
        <v>54500</v>
      </c>
      <c r="F12" s="8">
        <f>'[1]F-Selling &amp; Admin Budget'!F18</f>
        <v>61200</v>
      </c>
      <c r="G12" s="8">
        <f>'[1]F-Selling &amp; Admin Budget'!G18</f>
        <v>76650</v>
      </c>
      <c r="H12" s="8">
        <f>'[1]F-Selling &amp; Admin Budget'!H18</f>
        <v>82425</v>
      </c>
      <c r="I12" s="8">
        <f>'[1]F-Selling &amp; Admin Budget'!I18</f>
        <v>83775</v>
      </c>
      <c r="J12" s="8">
        <f>'[1]F-Selling &amp; Admin Budget'!J18</f>
        <v>68560</v>
      </c>
      <c r="K12" s="8">
        <f>'[1]F-Selling &amp; Admin Budget'!K18</f>
        <v>63880</v>
      </c>
      <c r="L12" s="8">
        <f>'[1]F-Selling &amp; Admin Budget'!L18</f>
        <v>58300</v>
      </c>
      <c r="M12" s="8">
        <f>'[1]F-Selling &amp; Admin Budget'!M18</f>
        <v>55600</v>
      </c>
      <c r="N12" s="19">
        <f>SUM(B12:M12)</f>
        <v>762440</v>
      </c>
    </row>
    <row r="13" spans="1:14" ht="16.8" x14ac:dyDescent="0.4">
      <c r="A13" s="15" t="s">
        <v>67</v>
      </c>
      <c r="B13" s="8">
        <f>SUM(B11:B12)</f>
        <v>98013.404799999989</v>
      </c>
      <c r="C13" s="8">
        <f>SUM(C11:C12)</f>
        <v>85367.375620000006</v>
      </c>
      <c r="D13" s="8">
        <f>SUM(D11:D12)</f>
        <v>89483.969004999992</v>
      </c>
      <c r="E13" s="8">
        <f>SUM(E11:E12)</f>
        <v>103150.32657499998</v>
      </c>
      <c r="F13" s="9">
        <f>SUM(F11:F12)</f>
        <v>118419.8265</v>
      </c>
      <c r="G13" s="9">
        <f t="shared" ref="G13:N13" si="2">SUM(G11:G12)</f>
        <v>170709.39937500001</v>
      </c>
      <c r="H13" s="9">
        <f t="shared" si="2"/>
        <v>235409.01937499997</v>
      </c>
      <c r="I13" s="9">
        <f t="shared" si="2"/>
        <v>242964.85665000003</v>
      </c>
      <c r="J13" s="9">
        <f t="shared" si="2"/>
        <v>217770.44875000001</v>
      </c>
      <c r="K13" s="9">
        <f t="shared" si="2"/>
        <v>168175.73635000002</v>
      </c>
      <c r="L13" s="9">
        <f t="shared" si="2"/>
        <v>136149.60343750002</v>
      </c>
      <c r="M13" s="9">
        <f t="shared" si="2"/>
        <v>109854.10128250001</v>
      </c>
      <c r="N13" s="9">
        <f t="shared" si="2"/>
        <v>1775468.0677199999</v>
      </c>
    </row>
    <row r="14" spans="1:14" ht="16.8" x14ac:dyDescent="0.4">
      <c r="A14" s="1" t="s">
        <v>4</v>
      </c>
      <c r="B14" s="8">
        <f>B9-B13</f>
        <v>62082.595200000011</v>
      </c>
      <c r="C14" s="8">
        <f>C9-C13</f>
        <v>40783.219580000004</v>
      </c>
      <c r="D14" s="8">
        <f>D9-D13</f>
        <v>5140.2505750000128</v>
      </c>
      <c r="E14" s="8">
        <f>E9-E13</f>
        <v>5304.6734250000154</v>
      </c>
      <c r="F14" s="8">
        <f>F9-F13</f>
        <v>2242.1735000000044</v>
      </c>
      <c r="G14" s="8">
        <f t="shared" ref="G14:N14" si="3">G9-G13</f>
        <v>-9208.8993750000081</v>
      </c>
      <c r="H14" s="8">
        <f t="shared" si="3"/>
        <v>56648.480625000026</v>
      </c>
      <c r="I14" s="8">
        <f t="shared" si="3"/>
        <v>115093.62397499999</v>
      </c>
      <c r="J14" s="8">
        <f t="shared" si="3"/>
        <v>193729.17522499998</v>
      </c>
      <c r="K14" s="8">
        <f t="shared" si="3"/>
        <v>230303.43887499999</v>
      </c>
      <c r="L14" s="8">
        <f t="shared" si="3"/>
        <v>249331.83543749998</v>
      </c>
      <c r="M14" s="8">
        <f t="shared" si="3"/>
        <v>240441.23415499995</v>
      </c>
      <c r="N14" s="8">
        <f t="shared" si="3"/>
        <v>123919.43228000007</v>
      </c>
    </row>
    <row r="15" spans="1:14" ht="15" x14ac:dyDescent="0.25">
      <c r="A15" s="1" t="s">
        <v>5</v>
      </c>
      <c r="B15" s="20"/>
      <c r="C15" s="6"/>
      <c r="D15" s="6"/>
      <c r="E15" s="6"/>
      <c r="F15" s="6"/>
      <c r="N15" s="1"/>
    </row>
    <row r="16" spans="1:14" ht="15" x14ac:dyDescent="0.25">
      <c r="A16" s="14" t="s">
        <v>117</v>
      </c>
      <c r="B16" s="21">
        <f>IF(B14&gt;30000,0,IF(B14&lt;0,30000+ABS(B14),30000-B14))</f>
        <v>0</v>
      </c>
      <c r="C16" s="21">
        <f t="shared" ref="C16:M16" si="4">IF(C14&gt;30000,0,IF(C14&lt;0,30000+ABS(C14),30000-C14))</f>
        <v>0</v>
      </c>
      <c r="D16" s="21">
        <f t="shared" si="4"/>
        <v>24859.749424999987</v>
      </c>
      <c r="E16" s="21">
        <f t="shared" si="4"/>
        <v>24695.326574999985</v>
      </c>
      <c r="F16" s="21">
        <f t="shared" si="4"/>
        <v>27757.826499999996</v>
      </c>
      <c r="G16" s="21">
        <f t="shared" si="4"/>
        <v>39208.899375000008</v>
      </c>
      <c r="H16" s="21">
        <f t="shared" si="4"/>
        <v>0</v>
      </c>
      <c r="I16" s="21">
        <f t="shared" si="4"/>
        <v>0</v>
      </c>
      <c r="J16" s="21">
        <f t="shared" si="4"/>
        <v>0</v>
      </c>
      <c r="K16" s="21">
        <f t="shared" si="4"/>
        <v>0</v>
      </c>
      <c r="L16" s="21">
        <f t="shared" si="4"/>
        <v>0</v>
      </c>
      <c r="M16" s="21">
        <f t="shared" si="4"/>
        <v>0</v>
      </c>
      <c r="N16" s="34">
        <f>SUM(B16:M16)</f>
        <v>116521.80187499998</v>
      </c>
    </row>
    <row r="17" spans="1:14" ht="15" x14ac:dyDescent="0.25">
      <c r="A17" s="14" t="s">
        <v>39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3">
        <f>-SUM(B16:M16)</f>
        <v>-116521.80187499998</v>
      </c>
      <c r="N17" s="34">
        <f>SUM(B17:M17)</f>
        <v>-116521.80187499998</v>
      </c>
    </row>
    <row r="18" spans="1:14" ht="16.8" x14ac:dyDescent="0.4">
      <c r="A18" s="14" t="s">
        <v>118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8">
        <f>(-B16*0.12)+(-C16*0.11)+(-D16*0.1)+(-E16*0.09)+(-F16*0.08)+(-G16*0.07)+(-H16*0.06)+(-I16*0.05)+(-J16*0.04)+(-K16*0.03)+(-L16*0.02)+(-M16*0.01)</f>
        <v>-9673.8034104999988</v>
      </c>
      <c r="N18" s="19">
        <f>SUM(B18:M18)</f>
        <v>-9673.8034104999988</v>
      </c>
    </row>
    <row r="19" spans="1:14" ht="16.8" x14ac:dyDescent="0.4">
      <c r="A19" s="15" t="s">
        <v>19</v>
      </c>
      <c r="B19" s="13">
        <f>SUM(B16:B18)</f>
        <v>0</v>
      </c>
      <c r="C19" s="13">
        <f>SUM(C16:C18)</f>
        <v>0</v>
      </c>
      <c r="D19" s="13">
        <f t="shared" ref="D19:N19" si="5">SUM(D16:D18)</f>
        <v>24859.749424999987</v>
      </c>
      <c r="E19" s="13">
        <f t="shared" si="5"/>
        <v>24695.326574999985</v>
      </c>
      <c r="F19" s="13">
        <f t="shared" si="5"/>
        <v>27757.826499999996</v>
      </c>
      <c r="G19" s="13">
        <f t="shared" si="5"/>
        <v>39208.899375000008</v>
      </c>
      <c r="H19" s="13">
        <f t="shared" si="5"/>
        <v>0</v>
      </c>
      <c r="I19" s="13">
        <f t="shared" si="5"/>
        <v>0</v>
      </c>
      <c r="J19" s="13">
        <f t="shared" si="5"/>
        <v>0</v>
      </c>
      <c r="K19" s="13">
        <f t="shared" si="5"/>
        <v>0</v>
      </c>
      <c r="L19" s="13">
        <f t="shared" si="5"/>
        <v>0</v>
      </c>
      <c r="M19" s="8">
        <f t="shared" si="5"/>
        <v>-126195.60528549997</v>
      </c>
      <c r="N19" s="8">
        <f t="shared" si="5"/>
        <v>-9673.8034104999988</v>
      </c>
    </row>
    <row r="20" spans="1:14" ht="16.8" x14ac:dyDescent="0.4">
      <c r="A20" s="1" t="s">
        <v>68</v>
      </c>
      <c r="B20" s="16">
        <f>B14+B19</f>
        <v>62082.595200000011</v>
      </c>
      <c r="C20" s="16">
        <f>C14+C19</f>
        <v>40783.219580000004</v>
      </c>
      <c r="D20" s="16">
        <f>D14+D19</f>
        <v>30000</v>
      </c>
      <c r="E20" s="16">
        <f>E14+E19</f>
        <v>30000</v>
      </c>
      <c r="F20" s="16">
        <f>F14+F19</f>
        <v>30000</v>
      </c>
      <c r="G20" s="16">
        <f t="shared" ref="G20:N20" si="6">G14+G19</f>
        <v>30000</v>
      </c>
      <c r="H20" s="16">
        <f t="shared" si="6"/>
        <v>56648.480625000026</v>
      </c>
      <c r="I20" s="16">
        <f t="shared" si="6"/>
        <v>115093.62397499999</v>
      </c>
      <c r="J20" s="16">
        <f t="shared" si="6"/>
        <v>193729.17522499998</v>
      </c>
      <c r="K20" s="16">
        <f t="shared" si="6"/>
        <v>230303.43887499999</v>
      </c>
      <c r="L20" s="16">
        <f t="shared" si="6"/>
        <v>249331.83543749998</v>
      </c>
      <c r="M20" s="16">
        <f t="shared" si="6"/>
        <v>114245.62886949998</v>
      </c>
      <c r="N20" s="16">
        <f t="shared" si="6"/>
        <v>114245.62886950007</v>
      </c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0">
    <tabColor theme="8" tint="0.39997558519241921"/>
    <pageSetUpPr fitToPage="1"/>
  </sheetPr>
  <dimension ref="A1:O17"/>
  <sheetViews>
    <sheetView workbookViewId="0">
      <selection activeCell="B7" sqref="B7"/>
    </sheetView>
  </sheetViews>
  <sheetFormatPr defaultRowHeight="13.2" x14ac:dyDescent="0.25"/>
  <cols>
    <col min="1" max="1" width="37.88671875" customWidth="1"/>
    <col min="2" max="13" width="15" customWidth="1"/>
    <col min="14" max="14" width="14.33203125" bestFit="1" customWidth="1"/>
  </cols>
  <sheetData>
    <row r="1" spans="1:15" ht="15.6" x14ac:dyDescent="0.3">
      <c r="A1" s="80" t="s">
        <v>77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5" ht="15.6" x14ac:dyDescent="0.3">
      <c r="A2" s="80" t="s">
        <v>178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5" ht="15.6" x14ac:dyDescent="0.3">
      <c r="A3" s="80" t="s">
        <v>95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5" ht="15" x14ac:dyDescent="0.25">
      <c r="A4" s="81" t="s">
        <v>73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</row>
    <row r="5" spans="1:15" ht="15" x14ac:dyDescent="0.25">
      <c r="A5" s="10"/>
    </row>
    <row r="6" spans="1:15" ht="15.6" x14ac:dyDescent="0.3">
      <c r="A6" s="1"/>
      <c r="B6" s="2" t="s">
        <v>80</v>
      </c>
      <c r="C6" s="2" t="s">
        <v>81</v>
      </c>
      <c r="D6" s="2" t="s">
        <v>82</v>
      </c>
      <c r="E6" s="2" t="s">
        <v>83</v>
      </c>
      <c r="F6" s="2" t="s">
        <v>99</v>
      </c>
      <c r="G6" s="2" t="s">
        <v>85</v>
      </c>
      <c r="H6" s="2" t="s">
        <v>86</v>
      </c>
      <c r="I6" s="2" t="s">
        <v>87</v>
      </c>
      <c r="J6" s="2" t="s">
        <v>88</v>
      </c>
      <c r="K6" s="2" t="s">
        <v>89</v>
      </c>
      <c r="L6" s="2" t="s">
        <v>90</v>
      </c>
      <c r="M6" s="2" t="s">
        <v>91</v>
      </c>
      <c r="N6" s="2" t="s">
        <v>53</v>
      </c>
    </row>
    <row r="7" spans="1:15" ht="15" x14ac:dyDescent="0.25">
      <c r="A7" s="1" t="s">
        <v>0</v>
      </c>
      <c r="B7" s="5">
        <f>'M-Sales Budget'!B8</f>
        <v>81000</v>
      </c>
      <c r="C7" s="5">
        <f>'M-Sales Budget'!C8</f>
        <v>63000</v>
      </c>
      <c r="D7" s="5">
        <f>'M-Sales Budget'!D8</f>
        <v>90000</v>
      </c>
      <c r="E7" s="5">
        <f>'M-Sales Budget'!E8</f>
        <v>99000</v>
      </c>
      <c r="F7" s="5">
        <f>'M-Sales Budget'!F8</f>
        <v>126000</v>
      </c>
      <c r="G7" s="5">
        <f>'M-Sales Budget'!G8</f>
        <v>225000</v>
      </c>
      <c r="H7" s="5">
        <f>'M-Sales Budget'!H8</f>
        <v>270000</v>
      </c>
      <c r="I7" s="5">
        <f>'M-Sales Budget'!I8</f>
        <v>288000</v>
      </c>
      <c r="J7" s="5">
        <f>'M-Sales Budget'!J8</f>
        <v>189000</v>
      </c>
      <c r="K7" s="5">
        <f>'M-Sales Budget'!K8</f>
        <v>144000</v>
      </c>
      <c r="L7" s="5">
        <f>'M-Sales Budget'!L8</f>
        <v>135000</v>
      </c>
      <c r="M7" s="5">
        <f>'M-Sales Budget'!M8</f>
        <v>99000</v>
      </c>
      <c r="N7" s="7">
        <f>SUM(B7:M7)</f>
        <v>1809000</v>
      </c>
    </row>
    <row r="8" spans="1:15" ht="16.8" x14ac:dyDescent="0.4">
      <c r="A8" s="1" t="s">
        <v>63</v>
      </c>
      <c r="B8" s="8">
        <f>B7*'M-Budgeting Assumptions'!$B$13</f>
        <v>44550</v>
      </c>
      <c r="C8" s="8">
        <f>C7*'M-Budgeting Assumptions'!$B$13</f>
        <v>34650</v>
      </c>
      <c r="D8" s="8">
        <f>D7*'M-Budgeting Assumptions'!$B$13</f>
        <v>49500.000000000007</v>
      </c>
      <c r="E8" s="8">
        <f>E7*'M-Budgeting Assumptions'!$B$13</f>
        <v>54450.000000000007</v>
      </c>
      <c r="F8" s="8">
        <f>F7*'M-Budgeting Assumptions'!$B$13</f>
        <v>69300</v>
      </c>
      <c r="G8" s="8">
        <f>G7*'M-Budgeting Assumptions'!$B$13</f>
        <v>123750.00000000001</v>
      </c>
      <c r="H8" s="8">
        <f>H7*'M-Budgeting Assumptions'!$B$13</f>
        <v>148500</v>
      </c>
      <c r="I8" s="8">
        <f>I7*'M-Budgeting Assumptions'!$B$13</f>
        <v>158400</v>
      </c>
      <c r="J8" s="8">
        <f>J7*'M-Budgeting Assumptions'!$B$13</f>
        <v>103950.00000000001</v>
      </c>
      <c r="K8" s="8">
        <f>K7*'M-Budgeting Assumptions'!$B$13</f>
        <v>79200</v>
      </c>
      <c r="L8" s="8">
        <f>L7*'M-Budgeting Assumptions'!$B$13</f>
        <v>74250</v>
      </c>
      <c r="M8" s="8">
        <f>M7*'M-Budgeting Assumptions'!$B$13</f>
        <v>54450.000000000007</v>
      </c>
      <c r="N8" s="19">
        <f>SUM(B8:M8)</f>
        <v>994950</v>
      </c>
    </row>
    <row r="9" spans="1:15" ht="15" x14ac:dyDescent="0.25">
      <c r="A9" s="1" t="s">
        <v>1</v>
      </c>
      <c r="B9" s="3">
        <f>B7-B8</f>
        <v>36450</v>
      </c>
      <c r="C9" s="3">
        <f t="shared" ref="C9:N9" si="0">C7-C8</f>
        <v>28350</v>
      </c>
      <c r="D9" s="3">
        <f t="shared" si="0"/>
        <v>40499.999999999993</v>
      </c>
      <c r="E9" s="3">
        <f t="shared" si="0"/>
        <v>44549.999999999993</v>
      </c>
      <c r="F9" s="3">
        <f t="shared" si="0"/>
        <v>56700</v>
      </c>
      <c r="G9" s="3">
        <f t="shared" si="0"/>
        <v>101249.99999999999</v>
      </c>
      <c r="H9" s="3">
        <f t="shared" si="0"/>
        <v>121500</v>
      </c>
      <c r="I9" s="3">
        <f t="shared" si="0"/>
        <v>129600</v>
      </c>
      <c r="J9" s="3">
        <f t="shared" si="0"/>
        <v>85049.999999999985</v>
      </c>
      <c r="K9" s="3">
        <f t="shared" si="0"/>
        <v>64800</v>
      </c>
      <c r="L9" s="3">
        <f t="shared" si="0"/>
        <v>60750</v>
      </c>
      <c r="M9" s="3">
        <f t="shared" si="0"/>
        <v>44549.999999999993</v>
      </c>
      <c r="N9" s="3">
        <f t="shared" si="0"/>
        <v>814050</v>
      </c>
    </row>
    <row r="10" spans="1:15" ht="16.8" x14ac:dyDescent="0.4">
      <c r="A10" s="1" t="s">
        <v>35</v>
      </c>
      <c r="B10" s="8">
        <f>'M-Selling &amp; Admin Budget'!B16</f>
        <v>61200</v>
      </c>
      <c r="C10" s="8">
        <f>'M-Selling &amp; Admin Budget'!C16</f>
        <v>59600</v>
      </c>
      <c r="D10" s="8">
        <f>'M-Selling &amp; Admin Budget'!D16</f>
        <v>62000</v>
      </c>
      <c r="E10" s="8">
        <f>'M-Selling &amp; Admin Budget'!E16</f>
        <v>62800</v>
      </c>
      <c r="F10" s="8">
        <f>'M-Selling &amp; Admin Budget'!F16</f>
        <v>65200</v>
      </c>
      <c r="G10" s="8">
        <f>'M-Selling &amp; Admin Budget'!G16</f>
        <v>74000</v>
      </c>
      <c r="H10" s="8">
        <f>'M-Selling &amp; Admin Budget'!H16</f>
        <v>78000</v>
      </c>
      <c r="I10" s="8">
        <f>'M-Selling &amp; Admin Budget'!I16</f>
        <v>79600</v>
      </c>
      <c r="J10" s="8">
        <f>'M-Selling &amp; Admin Budget'!J16</f>
        <v>70800</v>
      </c>
      <c r="K10" s="8">
        <f>'M-Selling &amp; Admin Budget'!K16</f>
        <v>66800</v>
      </c>
      <c r="L10" s="8">
        <f>'M-Selling &amp; Admin Budget'!L16</f>
        <v>66000</v>
      </c>
      <c r="M10" s="8">
        <f>'M-Selling &amp; Admin Budget'!M16</f>
        <v>62800</v>
      </c>
      <c r="N10" s="19">
        <f>SUM(B10:M10)</f>
        <v>808800</v>
      </c>
    </row>
    <row r="11" spans="1:15" ht="15" x14ac:dyDescent="0.25">
      <c r="A11" s="1" t="s">
        <v>37</v>
      </c>
      <c r="B11" s="3">
        <f>B9-B10</f>
        <v>-24750</v>
      </c>
      <c r="C11" s="3">
        <f t="shared" ref="C11:N11" si="1">C9-C10</f>
        <v>-31250</v>
      </c>
      <c r="D11" s="3">
        <f t="shared" si="1"/>
        <v>-21500.000000000007</v>
      </c>
      <c r="E11" s="3">
        <f t="shared" si="1"/>
        <v>-18250.000000000007</v>
      </c>
      <c r="F11" s="3">
        <f t="shared" si="1"/>
        <v>-8500</v>
      </c>
      <c r="G11" s="3">
        <f t="shared" si="1"/>
        <v>27249.999999999985</v>
      </c>
      <c r="H11" s="3">
        <f t="shared" si="1"/>
        <v>43500</v>
      </c>
      <c r="I11" s="3">
        <f t="shared" si="1"/>
        <v>50000</v>
      </c>
      <c r="J11" s="3">
        <f t="shared" si="1"/>
        <v>14249.999999999985</v>
      </c>
      <c r="K11" s="3">
        <f t="shared" si="1"/>
        <v>-2000</v>
      </c>
      <c r="L11" s="3">
        <f t="shared" si="1"/>
        <v>-5250</v>
      </c>
      <c r="M11" s="3">
        <f t="shared" si="1"/>
        <v>-18250.000000000007</v>
      </c>
      <c r="N11" s="3">
        <f t="shared" si="1"/>
        <v>5250</v>
      </c>
    </row>
    <row r="12" spans="1:15" ht="16.8" x14ac:dyDescent="0.4">
      <c r="A12" s="1" t="s">
        <v>36</v>
      </c>
      <c r="B12" s="8">
        <f>'M-Cash Budget'!B16*0.01</f>
        <v>0</v>
      </c>
      <c r="C12" s="8">
        <f>('M-Cash Budget'!B16+'M-Cash Budget'!C16)*0.01</f>
        <v>0</v>
      </c>
      <c r="D12" s="8">
        <f>('M-Cash Budget'!$B$16+'M-Cash Budget'!$C$16+'M-Cash Budget'!$D$16)*0.01</f>
        <v>47.856250000000003</v>
      </c>
      <c r="E12" s="8">
        <f>('M-Cash Budget'!$B$16+'M-Cash Budget'!$C$16+'M-Cash Budget'!$D$16+'M-Cash Budget'!$E$16)*0.01</f>
        <v>196.36875000000001</v>
      </c>
      <c r="F12" s="8">
        <f>('M-Cash Budget'!$B$16+'M-Cash Budget'!$C$16+'M-Cash Budget'!$D$16+'M-Cash Budget'!$E$16+'M-Cash Budget'!$F$16)*0.01</f>
        <v>343.11875000000003</v>
      </c>
      <c r="G12" s="8">
        <f>('M-Cash Budget'!$B$16+'M-Cash Budget'!$C$16+'M-Cash Budget'!$D$16+'M-Cash Budget'!$E$16+'M-Cash Budget'!$F$16+'M-Cash Budget'!$G$16)*0.01</f>
        <v>444.78125</v>
      </c>
      <c r="H12" s="8">
        <f>('M-Cash Budget'!$B$16+'M-Cash Budget'!$C$16+'M-Cash Budget'!$D$16+'M-Cash Budget'!$E$16+'M-Cash Budget'!$F$16+'M-Cash Budget'!$G$16+'M-Cash Budget'!$H$16)*0.01</f>
        <v>444.78125</v>
      </c>
      <c r="I12" s="8">
        <f>('M-Cash Budget'!$B$16+'M-Cash Budget'!$C$16+'M-Cash Budget'!$D$16+'M-Cash Budget'!$E$16+'M-Cash Budget'!$F$16+'M-Cash Budget'!$G$16+'M-Cash Budget'!$H$16+'M-Cash Budget'!$I$16)*0.01</f>
        <v>444.78125</v>
      </c>
      <c r="J12" s="8">
        <f>('M-Cash Budget'!$B$16+'M-Cash Budget'!$C$16+'M-Cash Budget'!$D$16+'M-Cash Budget'!$E$16+'M-Cash Budget'!$F$16+'M-Cash Budget'!$G$16+'M-Cash Budget'!$H$16+'M-Cash Budget'!$I$16+'M-Cash Budget'!$J$16)*0.01</f>
        <v>444.78125</v>
      </c>
      <c r="K12" s="8">
        <f>('M-Cash Budget'!$B$16+'M-Cash Budget'!$C$16+'M-Cash Budget'!$D$16+'M-Cash Budget'!$E$16+'M-Cash Budget'!$F$16+'M-Cash Budget'!$G$16+'M-Cash Budget'!$H$16+'M-Cash Budget'!$I$16+'M-Cash Budget'!$J$16+'M-Cash Budget'!$K$16)*0.01</f>
        <v>444.78125</v>
      </c>
      <c r="L12" s="8">
        <f>('M-Cash Budget'!$B$16+'M-Cash Budget'!$C$16+'M-Cash Budget'!$D$16+'M-Cash Budget'!$E$16+'M-Cash Budget'!$F$16+'M-Cash Budget'!$G$16+'M-Cash Budget'!$H$16+'M-Cash Budget'!$I$16+'M-Cash Budget'!$J$16+'M-Cash Budget'!$K$16+'M-Cash Budget'!$L$16)*0.01</f>
        <v>444.78125</v>
      </c>
      <c r="M12" s="8">
        <f>('M-Cash Budget'!$B$16+'M-Cash Budget'!$C$16+'M-Cash Budget'!$D$16+'M-Cash Budget'!$E$16+'M-Cash Budget'!$F$16+'M-Cash Budget'!$G$16+'M-Cash Budget'!$H$16+'M-Cash Budget'!$I$16+'M-Cash Budget'!$J$16+'M-Cash Budget'!$K$16+'M-Cash Budget'!$L$16+'M-Cash Budget'!$M$16)*0.01</f>
        <v>444.78125</v>
      </c>
      <c r="N12" s="19">
        <f>SUM(B12:M12)</f>
        <v>3700.8125</v>
      </c>
    </row>
    <row r="13" spans="1:15" ht="16.8" x14ac:dyDescent="0.4">
      <c r="A13" s="1" t="s">
        <v>38</v>
      </c>
      <c r="B13" s="4">
        <f>B11-B12</f>
        <v>-24750</v>
      </c>
      <c r="C13" s="4">
        <f t="shared" ref="C13:N13" si="2">C11-C12</f>
        <v>-31250</v>
      </c>
      <c r="D13" s="4">
        <f t="shared" si="2"/>
        <v>-21547.856250000008</v>
      </c>
      <c r="E13" s="4">
        <f t="shared" si="2"/>
        <v>-18446.368750000009</v>
      </c>
      <c r="F13" s="4">
        <f t="shared" si="2"/>
        <v>-8843.1187499999996</v>
      </c>
      <c r="G13" s="4">
        <f t="shared" si="2"/>
        <v>26805.218749999985</v>
      </c>
      <c r="H13" s="4">
        <f t="shared" si="2"/>
        <v>43055.21875</v>
      </c>
      <c r="I13" s="4">
        <f t="shared" si="2"/>
        <v>49555.21875</v>
      </c>
      <c r="J13" s="4">
        <f t="shared" si="2"/>
        <v>13805.218749999985</v>
      </c>
      <c r="K13" s="4">
        <f t="shared" si="2"/>
        <v>-2444.78125</v>
      </c>
      <c r="L13" s="4">
        <f t="shared" si="2"/>
        <v>-5694.78125</v>
      </c>
      <c r="M13" s="4">
        <f t="shared" si="2"/>
        <v>-18694.781250000007</v>
      </c>
      <c r="N13" s="4">
        <f t="shared" si="2"/>
        <v>1549.1875</v>
      </c>
      <c r="O13" s="3" t="s">
        <v>44</v>
      </c>
    </row>
    <row r="17" spans="2:14" x14ac:dyDescent="0.25"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</row>
  </sheetData>
  <mergeCells count="4">
    <mergeCell ref="A1:N1"/>
    <mergeCell ref="A2:N2"/>
    <mergeCell ref="A3:N3"/>
    <mergeCell ref="A4:N4"/>
  </mergeCells>
  <phoneticPr fontId="0" type="noConversion"/>
  <printOptions gridLines="1"/>
  <pageMargins left="0.75" right="0.75" top="1" bottom="1" header="0.5" footer="0.5"/>
  <pageSetup orientation="portrait" r:id="rId1"/>
  <headerFooter alignWithMargins="0"/>
  <ignoredErrors>
    <ignoredError sqref="B10 C10:N10 B12:D12 E12:F12 G12:N12 N9 N11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39997558519241921"/>
    <pageSetUpPr fitToPage="1"/>
  </sheetPr>
  <dimension ref="A1:O17"/>
  <sheetViews>
    <sheetView workbookViewId="0">
      <selection activeCell="B13" sqref="B13"/>
    </sheetView>
  </sheetViews>
  <sheetFormatPr defaultRowHeight="13.2" x14ac:dyDescent="0.25"/>
  <cols>
    <col min="1" max="1" width="37.88671875" customWidth="1"/>
    <col min="2" max="13" width="15" customWidth="1"/>
    <col min="14" max="14" width="14.33203125" bestFit="1" customWidth="1"/>
  </cols>
  <sheetData>
    <row r="1" spans="1:15" ht="15.6" x14ac:dyDescent="0.3">
      <c r="A1" s="80" t="s">
        <v>77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5" ht="15.6" x14ac:dyDescent="0.3">
      <c r="A2" s="80" t="s">
        <v>179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5" ht="15.6" x14ac:dyDescent="0.3">
      <c r="A3" s="80" t="s">
        <v>95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5" ht="15" x14ac:dyDescent="0.25">
      <c r="A4" s="81" t="s">
        <v>73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</row>
    <row r="5" spans="1:15" ht="15" x14ac:dyDescent="0.25">
      <c r="A5" s="10"/>
    </row>
    <row r="6" spans="1:15" ht="15.6" x14ac:dyDescent="0.3">
      <c r="A6" s="1"/>
      <c r="B6" s="2" t="s">
        <v>80</v>
      </c>
      <c r="C6" s="2" t="s">
        <v>81</v>
      </c>
      <c r="D6" s="2" t="s">
        <v>82</v>
      </c>
      <c r="E6" s="2" t="s">
        <v>83</v>
      </c>
      <c r="F6" s="2" t="s">
        <v>99</v>
      </c>
      <c r="G6" s="2" t="s">
        <v>85</v>
      </c>
      <c r="H6" s="2" t="s">
        <v>86</v>
      </c>
      <c r="I6" s="2" t="s">
        <v>87</v>
      </c>
      <c r="J6" s="2" t="s">
        <v>88</v>
      </c>
      <c r="K6" s="2" t="s">
        <v>89</v>
      </c>
      <c r="L6" s="2" t="s">
        <v>90</v>
      </c>
      <c r="M6" s="2" t="s">
        <v>91</v>
      </c>
      <c r="N6" s="2" t="s">
        <v>53</v>
      </c>
    </row>
    <row r="7" spans="1:15" ht="15" x14ac:dyDescent="0.25">
      <c r="A7" s="1" t="s">
        <v>0</v>
      </c>
      <c r="B7" s="5">
        <f>'F-Sales Budget'!B8</f>
        <v>72000</v>
      </c>
      <c r="C7" s="5">
        <f>'F-Sales Budget'!C8</f>
        <v>54000</v>
      </c>
      <c r="D7" s="5">
        <f>'F-Sales Budget'!D8</f>
        <v>81000</v>
      </c>
      <c r="E7" s="5">
        <f>'F-Sales Budget'!E8</f>
        <v>90000</v>
      </c>
      <c r="F7" s="5">
        <f>'F-Sales Budget'!F8</f>
        <v>108000</v>
      </c>
      <c r="G7" s="5">
        <f>'F-Sales Budget'!G8</f>
        <v>256500</v>
      </c>
      <c r="H7" s="5">
        <f>'F-Sales Budget'!H8</f>
        <v>299250</v>
      </c>
      <c r="I7" s="5">
        <f>'F-Sales Budget'!I8</f>
        <v>312750</v>
      </c>
      <c r="J7" s="5">
        <f>'F-Sales Budget'!J8</f>
        <v>210600</v>
      </c>
      <c r="K7" s="5">
        <f>'F-Sales Budget'!K8</f>
        <v>163800</v>
      </c>
      <c r="L7" s="5">
        <f>'F-Sales Budget'!L8</f>
        <v>108000</v>
      </c>
      <c r="M7" s="5">
        <f>'F-Sales Budget'!M8</f>
        <v>81000</v>
      </c>
      <c r="N7" s="7">
        <f>SUM(B7:M7)</f>
        <v>1836900</v>
      </c>
    </row>
    <row r="8" spans="1:15" ht="16.8" x14ac:dyDescent="0.4">
      <c r="A8" s="1" t="s">
        <v>63</v>
      </c>
      <c r="B8" s="8">
        <f>B7*'F-Budgeting Assumptions'!$B$13</f>
        <v>39600</v>
      </c>
      <c r="C8" s="8">
        <f>C7*'F-Budgeting Assumptions'!$B$13</f>
        <v>29700.000000000004</v>
      </c>
      <c r="D8" s="8">
        <f>D7*'F-Budgeting Assumptions'!$B$13</f>
        <v>44550</v>
      </c>
      <c r="E8" s="8">
        <f>E7*'F-Budgeting Assumptions'!$B$13</f>
        <v>49500.000000000007</v>
      </c>
      <c r="F8" s="8">
        <f>F7*'F-Budgeting Assumptions'!$B$13</f>
        <v>59400.000000000007</v>
      </c>
      <c r="G8" s="8">
        <f>G7*'F-Budgeting Assumptions'!$B$13</f>
        <v>141075</v>
      </c>
      <c r="H8" s="8">
        <f>H7*'F-Budgeting Assumptions'!$B$13</f>
        <v>164587.5</v>
      </c>
      <c r="I8" s="8">
        <f>I7*'F-Budgeting Assumptions'!$B$13</f>
        <v>172012.5</v>
      </c>
      <c r="J8" s="8">
        <f>J7*'F-Budgeting Assumptions'!$B$13</f>
        <v>115830.00000000001</v>
      </c>
      <c r="K8" s="8">
        <f>K7*'F-Budgeting Assumptions'!$B$13</f>
        <v>90090</v>
      </c>
      <c r="L8" s="8">
        <f>L7*'F-Budgeting Assumptions'!$B$13</f>
        <v>59400.000000000007</v>
      </c>
      <c r="M8" s="8">
        <f>M7*'F-Budgeting Assumptions'!$B$13</f>
        <v>44550</v>
      </c>
      <c r="N8" s="19">
        <f>SUM(B8:M8)</f>
        <v>1010295</v>
      </c>
    </row>
    <row r="9" spans="1:15" ht="15" x14ac:dyDescent="0.25">
      <c r="A9" s="1" t="s">
        <v>1</v>
      </c>
      <c r="B9" s="3">
        <f>B7-B8</f>
        <v>32400</v>
      </c>
      <c r="C9" s="3">
        <f t="shared" ref="C9:N9" si="0">C7-C8</f>
        <v>24299.999999999996</v>
      </c>
      <c r="D9" s="3">
        <f t="shared" si="0"/>
        <v>36450</v>
      </c>
      <c r="E9" s="3">
        <f t="shared" si="0"/>
        <v>40499.999999999993</v>
      </c>
      <c r="F9" s="3">
        <f t="shared" si="0"/>
        <v>48599.999999999993</v>
      </c>
      <c r="G9" s="3">
        <f t="shared" si="0"/>
        <v>115425</v>
      </c>
      <c r="H9" s="3">
        <f t="shared" si="0"/>
        <v>134662.5</v>
      </c>
      <c r="I9" s="3">
        <f t="shared" si="0"/>
        <v>140737.5</v>
      </c>
      <c r="J9" s="3">
        <f t="shared" si="0"/>
        <v>94769.999999999985</v>
      </c>
      <c r="K9" s="3">
        <f t="shared" si="0"/>
        <v>73710</v>
      </c>
      <c r="L9" s="3">
        <f t="shared" si="0"/>
        <v>48599.999999999993</v>
      </c>
      <c r="M9" s="3">
        <f t="shared" si="0"/>
        <v>36450</v>
      </c>
      <c r="N9" s="3">
        <f t="shared" si="0"/>
        <v>826605</v>
      </c>
    </row>
    <row r="10" spans="1:15" ht="16.8" x14ac:dyDescent="0.4">
      <c r="A10" s="1" t="s">
        <v>35</v>
      </c>
      <c r="B10" s="8">
        <f>'F-Selling &amp; Admin Budget'!B16</f>
        <v>60400</v>
      </c>
      <c r="C10" s="8">
        <f>'F-Selling &amp; Admin Budget'!C16</f>
        <v>58800</v>
      </c>
      <c r="D10" s="8">
        <f>'F-Selling &amp; Admin Budget'!D16</f>
        <v>61200</v>
      </c>
      <c r="E10" s="8">
        <f>'F-Selling &amp; Admin Budget'!E16</f>
        <v>62000</v>
      </c>
      <c r="F10" s="8">
        <f>'F-Selling &amp; Admin Budget'!F16</f>
        <v>63600</v>
      </c>
      <c r="G10" s="8">
        <f>'F-Selling &amp; Admin Budget'!G16</f>
        <v>76800</v>
      </c>
      <c r="H10" s="8">
        <f>'F-Selling &amp; Admin Budget'!H16</f>
        <v>80600</v>
      </c>
      <c r="I10" s="8">
        <f>'F-Selling &amp; Admin Budget'!I16</f>
        <v>81800</v>
      </c>
      <c r="J10" s="8">
        <f>'F-Selling &amp; Admin Budget'!J16</f>
        <v>72720</v>
      </c>
      <c r="K10" s="8">
        <f>'F-Selling &amp; Admin Budget'!K16</f>
        <v>68560</v>
      </c>
      <c r="L10" s="8">
        <f>'F-Selling &amp; Admin Budget'!L16</f>
        <v>63600</v>
      </c>
      <c r="M10" s="8">
        <f>'F-Selling &amp; Admin Budget'!M16</f>
        <v>61200</v>
      </c>
      <c r="N10" s="19">
        <f>SUM(B10:M10)</f>
        <v>811280</v>
      </c>
    </row>
    <row r="11" spans="1:15" ht="15" x14ac:dyDescent="0.25">
      <c r="A11" s="1" t="s">
        <v>37</v>
      </c>
      <c r="B11" s="3">
        <f>B9-B10</f>
        <v>-28000</v>
      </c>
      <c r="C11" s="3">
        <f t="shared" ref="C11:N11" si="1">C9-C10</f>
        <v>-34500</v>
      </c>
      <c r="D11" s="3">
        <f t="shared" si="1"/>
        <v>-24750</v>
      </c>
      <c r="E11" s="3">
        <f t="shared" si="1"/>
        <v>-21500.000000000007</v>
      </c>
      <c r="F11" s="3">
        <f t="shared" si="1"/>
        <v>-15000.000000000007</v>
      </c>
      <c r="G11" s="3">
        <f t="shared" si="1"/>
        <v>38625</v>
      </c>
      <c r="H11" s="3">
        <f t="shared" si="1"/>
        <v>54062.5</v>
      </c>
      <c r="I11" s="3">
        <f t="shared" si="1"/>
        <v>58937.5</v>
      </c>
      <c r="J11" s="3">
        <f t="shared" si="1"/>
        <v>22049.999999999985</v>
      </c>
      <c r="K11" s="3">
        <f t="shared" si="1"/>
        <v>5150</v>
      </c>
      <c r="L11" s="3">
        <f t="shared" si="1"/>
        <v>-15000.000000000007</v>
      </c>
      <c r="M11" s="3">
        <f t="shared" si="1"/>
        <v>-24750</v>
      </c>
      <c r="N11" s="3">
        <f t="shared" si="1"/>
        <v>15325</v>
      </c>
    </row>
    <row r="12" spans="1:15" ht="16.8" x14ac:dyDescent="0.4">
      <c r="A12" s="1" t="s">
        <v>36</v>
      </c>
      <c r="B12" s="8">
        <f>'F-Cash Budget'!B16*0.01</f>
        <v>0</v>
      </c>
      <c r="C12" s="8">
        <f>('F-Cash Budget'!B16+'F-Cash Budget'!C16)*0.01</f>
        <v>0</v>
      </c>
      <c r="D12" s="8">
        <f>('F-Cash Budget'!$B$16+'F-Cash Budget'!$C$16+'F-Cash Budget'!$D$16)*0.01</f>
        <v>103.05625000000001</v>
      </c>
      <c r="E12" s="8">
        <f>('F-Cash Budget'!$B$16+'F-Cash Budget'!$C$16+'F-Cash Budget'!$D$16+'F-Cash Budget'!$E$16)*0.01</f>
        <v>282.21250000000003</v>
      </c>
      <c r="F12" s="8">
        <f>('F-Cash Budget'!$B$16+'F-Cash Budget'!$C$16+'F-Cash Budget'!$D$16+'F-Cash Budget'!$E$16+'F-Cash Budget'!$F$16)*0.01</f>
        <v>463.72812500000003</v>
      </c>
      <c r="G12" s="8">
        <f>('F-Cash Budget'!$B$16+'F-Cash Budget'!$C$16+'F-Cash Budget'!$D$16+'F-Cash Budget'!$E$16+'F-Cash Budget'!$F$16+'F-Cash Budget'!$G$16)*0.01</f>
        <v>673.6171875</v>
      </c>
      <c r="H12" s="8">
        <f>('F-Cash Budget'!$B$16+'F-Cash Budget'!$C$16+'F-Cash Budget'!$D$16+'F-Cash Budget'!$E$16+'F-Cash Budget'!$F$16+'F-Cash Budget'!$G$16+'F-Cash Budget'!$H$16)*0.01</f>
        <v>673.6171875</v>
      </c>
      <c r="I12" s="8">
        <f>('F-Cash Budget'!$B$16+'F-Cash Budget'!$C$16+'F-Cash Budget'!$D$16+'F-Cash Budget'!$E$16+'F-Cash Budget'!$F$16+'F-Cash Budget'!$G$16+'F-Cash Budget'!$H$16+'F-Cash Budget'!$I$16)*0.01</f>
        <v>673.6171875</v>
      </c>
      <c r="J12" s="8">
        <f>('F-Cash Budget'!$B$16+'F-Cash Budget'!$C$16+'F-Cash Budget'!$D$16+'F-Cash Budget'!$E$16+'F-Cash Budget'!$F$16+'F-Cash Budget'!$G$16+'F-Cash Budget'!$H$16+'F-Cash Budget'!$I$16+'F-Cash Budget'!$J$16)*0.01</f>
        <v>673.6171875</v>
      </c>
      <c r="K12" s="8">
        <f>('F-Cash Budget'!$B$16+'F-Cash Budget'!$C$16+'F-Cash Budget'!$D$16+'F-Cash Budget'!$E$16+'F-Cash Budget'!$F$16+'F-Cash Budget'!$G$16+'F-Cash Budget'!$H$16+'F-Cash Budget'!$I$16+'F-Cash Budget'!$J$16+'F-Cash Budget'!$K$16)*0.01</f>
        <v>673.6171875</v>
      </c>
      <c r="L12" s="8">
        <f>('F-Cash Budget'!$B$16+'F-Cash Budget'!$C$16+'F-Cash Budget'!$D$16+'F-Cash Budget'!$E$16+'F-Cash Budget'!$F$16+'F-Cash Budget'!$G$16+'F-Cash Budget'!$H$16+'F-Cash Budget'!$I$16+'F-Cash Budget'!$J$16+'F-Cash Budget'!$K$16+'F-Cash Budget'!$L$16)*0.01</f>
        <v>673.6171875</v>
      </c>
      <c r="M12" s="8">
        <f>('F-Cash Budget'!$B$16+'F-Cash Budget'!$C$16+'F-Cash Budget'!$D$16+'F-Cash Budget'!$E$16+'F-Cash Budget'!$F$16+'F-Cash Budget'!$G$16+'F-Cash Budget'!$H$16+'F-Cash Budget'!$I$16+'F-Cash Budget'!$J$16+'F-Cash Budget'!$K$16+'F-Cash Budget'!$L$16+'F-Cash Budget'!$M$16)*0.01</f>
        <v>673.6171875</v>
      </c>
      <c r="N12" s="19">
        <f>SUM(B12:M12)</f>
        <v>5564.3171874999998</v>
      </c>
    </row>
    <row r="13" spans="1:15" ht="16.8" x14ac:dyDescent="0.4">
      <c r="A13" s="1" t="s">
        <v>38</v>
      </c>
      <c r="B13" s="4">
        <f>B11-B12</f>
        <v>-28000</v>
      </c>
      <c r="C13" s="4">
        <f t="shared" ref="C13:N13" si="2">C11-C12</f>
        <v>-34500</v>
      </c>
      <c r="D13" s="4">
        <f t="shared" si="2"/>
        <v>-24853.056250000001</v>
      </c>
      <c r="E13" s="4">
        <f t="shared" si="2"/>
        <v>-21782.212500000009</v>
      </c>
      <c r="F13" s="4">
        <f t="shared" si="2"/>
        <v>-15463.728125000007</v>
      </c>
      <c r="G13" s="4">
        <f t="shared" si="2"/>
        <v>37951.3828125</v>
      </c>
      <c r="H13" s="4">
        <f t="shared" si="2"/>
        <v>53388.8828125</v>
      </c>
      <c r="I13" s="4">
        <f t="shared" si="2"/>
        <v>58263.8828125</v>
      </c>
      <c r="J13" s="4">
        <f t="shared" si="2"/>
        <v>21376.382812499985</v>
      </c>
      <c r="K13" s="4">
        <f t="shared" si="2"/>
        <v>4476.3828125</v>
      </c>
      <c r="L13" s="4">
        <f t="shared" si="2"/>
        <v>-15673.617187500007</v>
      </c>
      <c r="M13" s="4">
        <f t="shared" si="2"/>
        <v>-25423.6171875</v>
      </c>
      <c r="N13" s="4">
        <f t="shared" si="2"/>
        <v>9760.6828124999993</v>
      </c>
      <c r="O13" s="3" t="s">
        <v>44</v>
      </c>
    </row>
    <row r="17" spans="2:14" x14ac:dyDescent="0.25"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</row>
  </sheetData>
  <mergeCells count="4">
    <mergeCell ref="A1:N1"/>
    <mergeCell ref="A2:N2"/>
    <mergeCell ref="A3:N3"/>
    <mergeCell ref="A4:N4"/>
  </mergeCells>
  <printOptions gridLines="1"/>
  <pageMargins left="0.75" right="0.75" top="1" bottom="1" header="0.5" footer="0.5"/>
  <pageSetup orientation="portrait" r:id="rId1"/>
  <headerFooter alignWithMargins="0"/>
  <ignoredErrors>
    <ignoredError sqref="B10:M10 B12:M12 N9 N11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7" tint="0.39997558519241921"/>
  </sheetPr>
  <dimension ref="A1:N13"/>
  <sheetViews>
    <sheetView workbookViewId="0">
      <selection activeCell="F25" sqref="F25:G25"/>
    </sheetView>
  </sheetViews>
  <sheetFormatPr defaultRowHeight="13.2" x14ac:dyDescent="0.25"/>
  <cols>
    <col min="1" max="1" width="37.88671875" customWidth="1"/>
    <col min="2" max="13" width="15" customWidth="1"/>
    <col min="14" max="14" width="15" bestFit="1" customWidth="1"/>
  </cols>
  <sheetData>
    <row r="1" spans="1:14" ht="15.6" x14ac:dyDescent="0.3">
      <c r="A1" s="80" t="s">
        <v>77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ht="15.6" x14ac:dyDescent="0.3">
      <c r="A2" s="80" t="s">
        <v>137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ht="15.6" x14ac:dyDescent="0.3">
      <c r="A3" s="80" t="s">
        <v>95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4" ht="15" x14ac:dyDescent="0.25">
      <c r="A4" s="81" t="s">
        <v>73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</row>
    <row r="5" spans="1:14" ht="15" x14ac:dyDescent="0.25">
      <c r="A5" s="10"/>
    </row>
    <row r="6" spans="1:14" ht="15.6" x14ac:dyDescent="0.3">
      <c r="A6" s="1"/>
      <c r="B6" s="2" t="s">
        <v>80</v>
      </c>
      <c r="C6" s="2" t="s">
        <v>81</v>
      </c>
      <c r="D6" s="2" t="s">
        <v>82</v>
      </c>
      <c r="E6" s="2" t="s">
        <v>83</v>
      </c>
      <c r="F6" s="2" t="s">
        <v>99</v>
      </c>
      <c r="G6" s="2" t="s">
        <v>85</v>
      </c>
      <c r="H6" s="2" t="s">
        <v>86</v>
      </c>
      <c r="I6" s="2" t="s">
        <v>87</v>
      </c>
      <c r="J6" s="2" t="s">
        <v>88</v>
      </c>
      <c r="K6" s="2" t="s">
        <v>89</v>
      </c>
      <c r="L6" s="2" t="s">
        <v>90</v>
      </c>
      <c r="M6" s="2" t="s">
        <v>91</v>
      </c>
      <c r="N6" s="2" t="s">
        <v>53</v>
      </c>
    </row>
    <row r="7" spans="1:14" ht="15" x14ac:dyDescent="0.25">
      <c r="A7" s="1" t="s">
        <v>0</v>
      </c>
      <c r="B7" s="5">
        <f>'[1]F-Sales Budget'!B8</f>
        <v>67200</v>
      </c>
      <c r="C7" s="5">
        <f>'[1]F-Sales Budget'!C8</f>
        <v>49800</v>
      </c>
      <c r="D7" s="5">
        <f>'[1]F-Sales Budget'!D8</f>
        <v>76500</v>
      </c>
      <c r="E7" s="5">
        <f>'[1]F-Sales Budget'!E8</f>
        <v>88000</v>
      </c>
      <c r="F7" s="5">
        <f>'[1]F-Sales Budget'!F8</f>
        <v>106800</v>
      </c>
      <c r="G7" s="5">
        <f>'[1]F-Sales Budget'!G8</f>
        <v>256500</v>
      </c>
      <c r="H7" s="5">
        <f>'[1]F-Sales Budget'!H8</f>
        <v>299250</v>
      </c>
      <c r="I7" s="5">
        <f>'[1]F-Sales Budget'!I8</f>
        <v>312750</v>
      </c>
      <c r="J7" s="5">
        <f>'[1]F-Sales Budget'!J8</f>
        <v>210600</v>
      </c>
      <c r="K7" s="5">
        <f>'[1]F-Sales Budget'!K8</f>
        <v>163800</v>
      </c>
      <c r="L7" s="5">
        <f>'[1]F-Sales Budget'!L8</f>
        <v>106800</v>
      </c>
      <c r="M7" s="5">
        <f>'[1]F-Sales Budget'!M8</f>
        <v>76500</v>
      </c>
      <c r="N7" s="7">
        <f>SUM(B7:M7)</f>
        <v>1814500</v>
      </c>
    </row>
    <row r="8" spans="1:14" ht="16.8" x14ac:dyDescent="0.4">
      <c r="A8" s="1" t="s">
        <v>63</v>
      </c>
      <c r="B8" s="8">
        <f>B7*'[1]Actual inputs'!B13</f>
        <v>40992</v>
      </c>
      <c r="C8" s="8">
        <f>C7*'[1]Actual inputs'!C13</f>
        <v>30278.399999999998</v>
      </c>
      <c r="D8" s="8">
        <f>D7*'[1]Actual inputs'!D13</f>
        <v>45364.5</v>
      </c>
      <c r="E8" s="8">
        <f>E7*'[1]Actual inputs'!E13</f>
        <v>50159.999999999993</v>
      </c>
      <c r="F8" s="8">
        <f>F7*'[1]Actual inputs'!F13</f>
        <v>59808.000000000007</v>
      </c>
      <c r="G8" s="8">
        <f>G7*'[1]Actual inputs'!G13</f>
        <v>141075</v>
      </c>
      <c r="H8" s="8">
        <f>H7*'[1]Actual inputs'!H13</f>
        <v>164587.5</v>
      </c>
      <c r="I8" s="8">
        <f>I7*'[1]Actual inputs'!I13</f>
        <v>172012.5</v>
      </c>
      <c r="J8" s="8">
        <f>J7*'[1]Actual inputs'!J13</f>
        <v>115830.00000000001</v>
      </c>
      <c r="K8" s="8">
        <f>K7*'[1]Actual inputs'!K13</f>
        <v>90090</v>
      </c>
      <c r="L8" s="8">
        <f>L7*'[1]Actual inputs'!L13</f>
        <v>59274.000000000007</v>
      </c>
      <c r="M8" s="8">
        <f>M7*'[1]Actual inputs'!M13</f>
        <v>45364.5</v>
      </c>
      <c r="N8" s="19">
        <f>SUM(B8:M8)</f>
        <v>1014836.4</v>
      </c>
    </row>
    <row r="9" spans="1:14" ht="15" x14ac:dyDescent="0.25">
      <c r="A9" s="1" t="s">
        <v>1</v>
      </c>
      <c r="B9" s="3">
        <f>B7-B8</f>
        <v>26208</v>
      </c>
      <c r="C9" s="3">
        <f t="shared" ref="C9:N9" si="0">C7-C8</f>
        <v>19521.600000000002</v>
      </c>
      <c r="D9" s="3">
        <f t="shared" si="0"/>
        <v>31135.5</v>
      </c>
      <c r="E9" s="3">
        <f t="shared" si="0"/>
        <v>37840.000000000007</v>
      </c>
      <c r="F9" s="3">
        <f t="shared" si="0"/>
        <v>46991.999999999993</v>
      </c>
      <c r="G9" s="3">
        <f t="shared" si="0"/>
        <v>115425</v>
      </c>
      <c r="H9" s="3">
        <f t="shared" si="0"/>
        <v>134662.5</v>
      </c>
      <c r="I9" s="3">
        <f t="shared" si="0"/>
        <v>140737.5</v>
      </c>
      <c r="J9" s="3">
        <f t="shared" si="0"/>
        <v>94769.999999999985</v>
      </c>
      <c r="K9" s="3">
        <f t="shared" si="0"/>
        <v>73710</v>
      </c>
      <c r="L9" s="3">
        <f t="shared" si="0"/>
        <v>47525.999999999993</v>
      </c>
      <c r="M9" s="3">
        <f t="shared" si="0"/>
        <v>31135.5</v>
      </c>
      <c r="N9" s="3">
        <f t="shared" si="0"/>
        <v>799663.6</v>
      </c>
    </row>
    <row r="10" spans="1:14" ht="16.8" x14ac:dyDescent="0.4">
      <c r="A10" s="1" t="s">
        <v>35</v>
      </c>
      <c r="B10" s="8">
        <f>'[1]F-Selling &amp; Admin Budget'!B16</f>
        <v>60800</v>
      </c>
      <c r="C10" s="8">
        <f>'[1]F-Selling &amp; Admin Budget'!C16</f>
        <v>59100</v>
      </c>
      <c r="D10" s="8">
        <f>'[1]F-Selling &amp; Admin Budget'!D16</f>
        <v>61650</v>
      </c>
      <c r="E10" s="8">
        <f>'[1]F-Selling &amp; Admin Budget'!E16</f>
        <v>62500</v>
      </c>
      <c r="F10" s="8">
        <f>'[1]F-Selling &amp; Admin Budget'!F16</f>
        <v>69200</v>
      </c>
      <c r="G10" s="8">
        <f>'[1]F-Selling &amp; Admin Budget'!G16</f>
        <v>84650</v>
      </c>
      <c r="H10" s="8">
        <f>'[1]F-Selling &amp; Admin Budget'!H16</f>
        <v>90425</v>
      </c>
      <c r="I10" s="8">
        <f>'[1]F-Selling &amp; Admin Budget'!I16</f>
        <v>91775</v>
      </c>
      <c r="J10" s="8">
        <f>'[1]F-Selling &amp; Admin Budget'!J16</f>
        <v>76560</v>
      </c>
      <c r="K10" s="8">
        <f>'[1]F-Selling &amp; Admin Budget'!K16</f>
        <v>71880</v>
      </c>
      <c r="L10" s="8">
        <f>'[1]F-Selling &amp; Admin Budget'!L16</f>
        <v>66300</v>
      </c>
      <c r="M10" s="8">
        <f>'[1]F-Selling &amp; Admin Budget'!M16</f>
        <v>63600</v>
      </c>
      <c r="N10" s="19">
        <f>SUM(B10:M10)</f>
        <v>858440</v>
      </c>
    </row>
    <row r="11" spans="1:14" ht="15" x14ac:dyDescent="0.25">
      <c r="A11" s="1" t="s">
        <v>37</v>
      </c>
      <c r="B11" s="3">
        <f>B9-B10</f>
        <v>-34592</v>
      </c>
      <c r="C11" s="3">
        <f t="shared" ref="C11:N11" si="1">C9-C10</f>
        <v>-39578.399999999994</v>
      </c>
      <c r="D11" s="3">
        <f t="shared" si="1"/>
        <v>-30514.5</v>
      </c>
      <c r="E11" s="3">
        <f t="shared" si="1"/>
        <v>-24659.999999999993</v>
      </c>
      <c r="F11" s="3">
        <f t="shared" si="1"/>
        <v>-22208.000000000007</v>
      </c>
      <c r="G11" s="3">
        <f t="shared" si="1"/>
        <v>30775</v>
      </c>
      <c r="H11" s="3">
        <f t="shared" si="1"/>
        <v>44237.5</v>
      </c>
      <c r="I11" s="3">
        <f t="shared" si="1"/>
        <v>48962.5</v>
      </c>
      <c r="J11" s="3">
        <f t="shared" si="1"/>
        <v>18209.999999999985</v>
      </c>
      <c r="K11" s="3">
        <f t="shared" si="1"/>
        <v>1830</v>
      </c>
      <c r="L11" s="3">
        <f t="shared" si="1"/>
        <v>-18774.000000000007</v>
      </c>
      <c r="M11" s="3">
        <f t="shared" si="1"/>
        <v>-32464.5</v>
      </c>
      <c r="N11" s="3">
        <f t="shared" si="1"/>
        <v>-58776.400000000023</v>
      </c>
    </row>
    <row r="12" spans="1:14" ht="16.8" x14ac:dyDescent="0.4">
      <c r="A12" s="1" t="s">
        <v>36</v>
      </c>
      <c r="B12" s="8">
        <f>'[1]F-Cash Budget'!B16*0.01</f>
        <v>0</v>
      </c>
      <c r="C12" s="8">
        <f>('[1]F-Cash Budget'!B16+'[1]F-Cash Budget'!C16)*0.01</f>
        <v>0</v>
      </c>
      <c r="D12" s="8">
        <f>('[1]F-Cash Budget'!$B$16+'[1]F-Cash Budget'!$C$16+'[1]F-Cash Budget'!$D$16)*0.01</f>
        <v>248.59749424999987</v>
      </c>
      <c r="E12" s="8">
        <f>('[1]F-Cash Budget'!$B$16+'[1]F-Cash Budget'!$C$16+'[1]F-Cash Budget'!$D$16+'[1]F-Cash Budget'!$E$16)*0.01</f>
        <v>495.55075999999974</v>
      </c>
      <c r="F12" s="8">
        <f>('[1]F-Cash Budget'!$B$16+'[1]F-Cash Budget'!$C$16+'[1]F-Cash Budget'!$D$16+'[1]F-Cash Budget'!$E$16+'[1]F-Cash Budget'!$F$16)*0.01</f>
        <v>773.12902499999973</v>
      </c>
      <c r="G12" s="8">
        <f>('[1]F-Cash Budget'!$B$16+'[1]F-Cash Budget'!$C$16+'[1]F-Cash Budget'!$D$16+'[1]F-Cash Budget'!$E$16+'[1]F-Cash Budget'!$F$16+'[1]F-Cash Budget'!$G$16)*0.01</f>
        <v>1165.2180187499998</v>
      </c>
      <c r="H12" s="8">
        <f>('[1]F-Cash Budget'!$B$16+'[1]F-Cash Budget'!$C$16+'[1]F-Cash Budget'!$D$16+'[1]F-Cash Budget'!$E$16+'[1]F-Cash Budget'!$F$16+'[1]F-Cash Budget'!$G$16+'[1]F-Cash Budget'!$H$16)*0.01</f>
        <v>1165.2180187499998</v>
      </c>
      <c r="I12" s="8">
        <f>('[1]F-Cash Budget'!$B$16+'[1]F-Cash Budget'!$C$16+'[1]F-Cash Budget'!$D$16+'[1]F-Cash Budget'!$E$16+'[1]F-Cash Budget'!$F$16+'[1]F-Cash Budget'!$G$16+'[1]F-Cash Budget'!$H$16+'[1]F-Cash Budget'!$I$16)*0.01</f>
        <v>1165.2180187499998</v>
      </c>
      <c r="J12" s="8">
        <f>('[1]F-Cash Budget'!$B$16+'[1]F-Cash Budget'!$C$16+'[1]F-Cash Budget'!$D$16+'[1]F-Cash Budget'!$E$16+'[1]F-Cash Budget'!$F$16+'[1]F-Cash Budget'!$G$16+'[1]F-Cash Budget'!$H$16+'[1]F-Cash Budget'!$I$16+'[1]F-Cash Budget'!$J$16)*0.01</f>
        <v>1165.2180187499998</v>
      </c>
      <c r="K12" s="8">
        <f>('[1]F-Cash Budget'!$B$16+'[1]F-Cash Budget'!$C$16+'[1]F-Cash Budget'!$D$16+'[1]F-Cash Budget'!$E$16+'[1]F-Cash Budget'!$F$16+'[1]F-Cash Budget'!$G$16+'[1]F-Cash Budget'!$H$16+'[1]F-Cash Budget'!$I$16+'[1]F-Cash Budget'!$J$16+'[1]F-Cash Budget'!$K$16)*0.01</f>
        <v>1165.2180187499998</v>
      </c>
      <c r="L12" s="8">
        <f>('[1]F-Cash Budget'!$B$16+'[1]F-Cash Budget'!$C$16+'[1]F-Cash Budget'!$D$16+'[1]F-Cash Budget'!$E$16+'[1]F-Cash Budget'!$F$16+'[1]F-Cash Budget'!$G$16+'[1]F-Cash Budget'!$H$16+'[1]F-Cash Budget'!$I$16+'[1]F-Cash Budget'!$J$16+'[1]F-Cash Budget'!$K$16+'[1]F-Cash Budget'!$L$16)*0.01</f>
        <v>1165.2180187499998</v>
      </c>
      <c r="M12" s="8">
        <f>('[1]F-Cash Budget'!$B$16+'[1]F-Cash Budget'!$C$16+'[1]F-Cash Budget'!$D$16+'[1]F-Cash Budget'!$E$16+'[1]F-Cash Budget'!$F$16+'[1]F-Cash Budget'!$G$16+'[1]F-Cash Budget'!$H$16+'[1]F-Cash Budget'!$I$16+'[1]F-Cash Budget'!$J$16+'[1]F-Cash Budget'!$K$16+'[1]F-Cash Budget'!$L$16+'[1]F-Cash Budget'!$M$16)*0.01</f>
        <v>1165.2180187499998</v>
      </c>
      <c r="N12" s="19">
        <f>SUM(B12:M12)</f>
        <v>9673.8034104999988</v>
      </c>
    </row>
    <row r="13" spans="1:14" ht="16.8" x14ac:dyDescent="0.4">
      <c r="A13" s="1" t="s">
        <v>38</v>
      </c>
      <c r="B13" s="4">
        <f>B11-B12</f>
        <v>-34592</v>
      </c>
      <c r="C13" s="4">
        <f t="shared" ref="C13:N13" si="2">C11-C12</f>
        <v>-39578.399999999994</v>
      </c>
      <c r="D13" s="4">
        <f t="shared" si="2"/>
        <v>-30763.09749425</v>
      </c>
      <c r="E13" s="4">
        <f t="shared" si="2"/>
        <v>-25155.550759999991</v>
      </c>
      <c r="F13" s="4">
        <f t="shared" si="2"/>
        <v>-22981.129025000006</v>
      </c>
      <c r="G13" s="4">
        <f t="shared" si="2"/>
        <v>29609.781981250002</v>
      </c>
      <c r="H13" s="4">
        <f t="shared" si="2"/>
        <v>43072.281981250002</v>
      </c>
      <c r="I13" s="4">
        <f t="shared" si="2"/>
        <v>47797.281981250002</v>
      </c>
      <c r="J13" s="4">
        <f t="shared" si="2"/>
        <v>17044.781981249987</v>
      </c>
      <c r="K13" s="4">
        <f t="shared" si="2"/>
        <v>664.78198125000017</v>
      </c>
      <c r="L13" s="4">
        <f t="shared" si="2"/>
        <v>-19939.218018750005</v>
      </c>
      <c r="M13" s="4">
        <f t="shared" si="2"/>
        <v>-33629.718018749998</v>
      </c>
      <c r="N13" s="4">
        <f t="shared" si="2"/>
        <v>-68450.20341050002</v>
      </c>
    </row>
  </sheetData>
  <mergeCells count="4">
    <mergeCell ref="A1:N1"/>
    <mergeCell ref="A2:N2"/>
    <mergeCell ref="A3:N3"/>
    <mergeCell ref="A4:N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1">
    <tabColor theme="8" tint="0.39997558519241921"/>
  </sheetPr>
  <dimension ref="A1:M31"/>
  <sheetViews>
    <sheetView zoomScaleNormal="100" workbookViewId="0">
      <selection activeCell="G32" sqref="G32"/>
    </sheetView>
  </sheetViews>
  <sheetFormatPr defaultColWidth="9.109375" defaultRowHeight="15" x14ac:dyDescent="0.25"/>
  <cols>
    <col min="1" max="1" width="41.44140625" style="1" bestFit="1" customWidth="1"/>
    <col min="2" max="3" width="15" style="1" customWidth="1"/>
    <col min="4" max="4" width="15" style="10" customWidth="1"/>
    <col min="5" max="13" width="15" style="1" customWidth="1"/>
    <col min="14" max="16384" width="9.109375" style="1"/>
  </cols>
  <sheetData>
    <row r="1" spans="1:13" ht="15.6" x14ac:dyDescent="0.3">
      <c r="A1" s="80" t="s">
        <v>77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3" ht="15.6" x14ac:dyDescent="0.3">
      <c r="A2" s="80" t="s">
        <v>180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</row>
    <row r="3" spans="1:13" ht="15.6" x14ac:dyDescent="0.3">
      <c r="A3" s="84" t="s">
        <v>121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</row>
    <row r="4" spans="1:13" ht="15.6" x14ac:dyDescent="0.3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</row>
    <row r="5" spans="1:13" ht="15.6" x14ac:dyDescent="0.3">
      <c r="A5" s="22"/>
      <c r="B5" s="2" t="s">
        <v>80</v>
      </c>
      <c r="C5" s="2" t="s">
        <v>81</v>
      </c>
      <c r="D5" s="2" t="s">
        <v>82</v>
      </c>
      <c r="E5" s="2" t="s">
        <v>83</v>
      </c>
      <c r="F5" s="2" t="s">
        <v>99</v>
      </c>
      <c r="G5" s="2" t="s">
        <v>85</v>
      </c>
      <c r="H5" s="2" t="s">
        <v>86</v>
      </c>
      <c r="I5" s="2" t="s">
        <v>87</v>
      </c>
      <c r="J5" s="2" t="s">
        <v>88</v>
      </c>
      <c r="K5" s="2" t="s">
        <v>89</v>
      </c>
      <c r="L5" s="2" t="s">
        <v>90</v>
      </c>
      <c r="M5" s="2" t="s">
        <v>91</v>
      </c>
    </row>
    <row r="6" spans="1:13" ht="15.6" x14ac:dyDescent="0.3">
      <c r="A6" s="23" t="s">
        <v>6</v>
      </c>
      <c r="B6" s="23"/>
      <c r="C6" s="23"/>
      <c r="D6" s="23"/>
    </row>
    <row r="7" spans="1:13" x14ac:dyDescent="0.25">
      <c r="A7" s="1" t="s">
        <v>7</v>
      </c>
      <c r="B7" s="5"/>
    </row>
    <row r="8" spans="1:13" x14ac:dyDescent="0.25">
      <c r="A8" s="14" t="s">
        <v>21</v>
      </c>
      <c r="B8" s="5">
        <f>'M-Cash Budget'!B20</f>
        <v>64998.125</v>
      </c>
      <c r="C8" s="5">
        <f>'M-Cash Budget'!C20</f>
        <v>51033.125</v>
      </c>
      <c r="D8" s="5">
        <f>'M-Cash Budget'!D20</f>
        <v>30000</v>
      </c>
      <c r="E8" s="5">
        <f>'M-Cash Budget'!E20</f>
        <v>30000</v>
      </c>
      <c r="F8" s="5">
        <f>'M-Cash Budget'!F20</f>
        <v>30000</v>
      </c>
      <c r="G8" s="5">
        <f>'M-Cash Budget'!G20</f>
        <v>30000</v>
      </c>
      <c r="H8" s="5">
        <f>'M-Cash Budget'!H20</f>
        <v>60906.875</v>
      </c>
      <c r="I8" s="5">
        <f>'M-Cash Budget'!I20</f>
        <v>112860</v>
      </c>
      <c r="J8" s="5">
        <f>'M-Cash Budget'!J20</f>
        <v>180526.25</v>
      </c>
      <c r="K8" s="5">
        <f>'M-Cash Budget'!K20</f>
        <v>206933.75</v>
      </c>
      <c r="L8" s="5">
        <f>'M-Cash Budget'!L20</f>
        <v>214470.625</v>
      </c>
      <c r="M8" s="5">
        <f>'M-Cash Budget'!M20</f>
        <v>172446.0625</v>
      </c>
    </row>
    <row r="9" spans="1:13" x14ac:dyDescent="0.25">
      <c r="A9" s="14" t="s">
        <v>22</v>
      </c>
      <c r="B9" s="3">
        <f>'M-Sales Budget'!B8*'M-Budgeting Assumptions'!$B$10</f>
        <v>64800</v>
      </c>
      <c r="C9" s="3">
        <f>'M-Sales Budget'!C8*'M-Budgeting Assumptions'!$B$10</f>
        <v>50400</v>
      </c>
      <c r="D9" s="3">
        <f>'M-Sales Budget'!D8*'M-Budgeting Assumptions'!$B$10</f>
        <v>72000</v>
      </c>
      <c r="E9" s="3">
        <f>'M-Sales Budget'!E8*'M-Budgeting Assumptions'!$B$10</f>
        <v>79200</v>
      </c>
      <c r="F9" s="3">
        <f>'M-Sales Budget'!F8*'M-Budgeting Assumptions'!$B$10</f>
        <v>100800</v>
      </c>
      <c r="G9" s="3">
        <f>'M-Sales Budget'!G8*'M-Budgeting Assumptions'!$B$10</f>
        <v>180000</v>
      </c>
      <c r="H9" s="3">
        <f>'M-Sales Budget'!H8*'M-Budgeting Assumptions'!$B$10</f>
        <v>216000</v>
      </c>
      <c r="I9" s="3">
        <f>'M-Sales Budget'!I8*'M-Budgeting Assumptions'!$B$10</f>
        <v>230400</v>
      </c>
      <c r="J9" s="3">
        <f>'M-Sales Budget'!J8*'M-Budgeting Assumptions'!$B$10</f>
        <v>151200</v>
      </c>
      <c r="K9" s="3">
        <f>'M-Sales Budget'!K8*'M-Budgeting Assumptions'!$B$10</f>
        <v>115200</v>
      </c>
      <c r="L9" s="3">
        <f>'M-Sales Budget'!L8*'M-Budgeting Assumptions'!$B$10</f>
        <v>108000</v>
      </c>
      <c r="M9" s="3">
        <f>'M-Sales Budget'!M8*'M-Budgeting Assumptions'!$B$10</f>
        <v>79200</v>
      </c>
    </row>
    <row r="10" spans="1:13" ht="16.8" x14ac:dyDescent="0.4">
      <c r="A10" s="14" t="s">
        <v>122</v>
      </c>
      <c r="B10" s="8">
        <f>'M-Merchandise Purchases Budget'!B7</f>
        <v>8662.5</v>
      </c>
      <c r="C10" s="8">
        <f>'M-Merchandise Purchases Budget'!C7</f>
        <v>12375.000000000002</v>
      </c>
      <c r="D10" s="8">
        <f>'M-Merchandise Purchases Budget'!D7</f>
        <v>13612.500000000002</v>
      </c>
      <c r="E10" s="8">
        <f>'M-Merchandise Purchases Budget'!E7</f>
        <v>17325</v>
      </c>
      <c r="F10" s="8">
        <f>'M-Merchandise Purchases Budget'!F7</f>
        <v>30937.500000000004</v>
      </c>
      <c r="G10" s="8">
        <f>'M-Merchandise Purchases Budget'!G7</f>
        <v>37125</v>
      </c>
      <c r="H10" s="8">
        <f>'M-Merchandise Purchases Budget'!H7</f>
        <v>39600</v>
      </c>
      <c r="I10" s="8">
        <f>'M-Merchandise Purchases Budget'!I7</f>
        <v>25987.500000000004</v>
      </c>
      <c r="J10" s="8">
        <f>'M-Merchandise Purchases Budget'!J7</f>
        <v>19800</v>
      </c>
      <c r="K10" s="8">
        <f>'M-Merchandise Purchases Budget'!K7</f>
        <v>18562.5</v>
      </c>
      <c r="L10" s="8">
        <f>'M-Merchandise Purchases Budget'!L7</f>
        <v>13612.500000000002</v>
      </c>
      <c r="M10" s="8">
        <f>'M-Merchandise Purchases Budget'!M7</f>
        <v>12100</v>
      </c>
    </row>
    <row r="11" spans="1:13" x14ac:dyDescent="0.25">
      <c r="A11" s="15" t="s">
        <v>23</v>
      </c>
      <c r="B11" s="3">
        <f>SUM(B8:B10)</f>
        <v>138460.625</v>
      </c>
      <c r="C11" s="3">
        <f t="shared" ref="C11:M11" si="0">SUM(C8:C10)</f>
        <v>113808.125</v>
      </c>
      <c r="D11" s="3">
        <f t="shared" si="0"/>
        <v>115612.5</v>
      </c>
      <c r="E11" s="3">
        <f t="shared" si="0"/>
        <v>126525</v>
      </c>
      <c r="F11" s="3">
        <f t="shared" si="0"/>
        <v>161737.5</v>
      </c>
      <c r="G11" s="3">
        <f t="shared" si="0"/>
        <v>247125</v>
      </c>
      <c r="H11" s="3">
        <f t="shared" si="0"/>
        <v>316506.875</v>
      </c>
      <c r="I11" s="3">
        <f t="shared" si="0"/>
        <v>369247.5</v>
      </c>
      <c r="J11" s="3">
        <f t="shared" si="0"/>
        <v>351526.25</v>
      </c>
      <c r="K11" s="3">
        <f t="shared" si="0"/>
        <v>340696.25</v>
      </c>
      <c r="L11" s="3">
        <f t="shared" si="0"/>
        <v>336083.125</v>
      </c>
      <c r="M11" s="3">
        <f t="shared" si="0"/>
        <v>263746.0625</v>
      </c>
    </row>
    <row r="12" spans="1:13" x14ac:dyDescent="0.25">
      <c r="A12" s="1" t="s">
        <v>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25">
      <c r="A13" s="14" t="s">
        <v>24</v>
      </c>
      <c r="B13" s="3">
        <f>'Beginning Balance Sheet'!$B$12</f>
        <v>900000</v>
      </c>
      <c r="C13" s="3">
        <f>'Beginning Balance Sheet'!$B$12</f>
        <v>900000</v>
      </c>
      <c r="D13" s="3">
        <f>'Beginning Balance Sheet'!$B$12</f>
        <v>900000</v>
      </c>
      <c r="E13" s="3">
        <f>'Beginning Balance Sheet'!$B$12</f>
        <v>900000</v>
      </c>
      <c r="F13" s="3">
        <f>'Beginning Balance Sheet'!$B$12</f>
        <v>900000</v>
      </c>
      <c r="G13" s="3">
        <f>'Beginning Balance Sheet'!$B$12</f>
        <v>900000</v>
      </c>
      <c r="H13" s="3">
        <f>'Beginning Balance Sheet'!$B$12</f>
        <v>900000</v>
      </c>
      <c r="I13" s="3">
        <f>'Beginning Balance Sheet'!$B$12</f>
        <v>900000</v>
      </c>
      <c r="J13" s="3">
        <f>'Beginning Balance Sheet'!$B$12</f>
        <v>900000</v>
      </c>
      <c r="K13" s="3">
        <f>'Beginning Balance Sheet'!$B$12</f>
        <v>900000</v>
      </c>
      <c r="L13" s="3">
        <f>'Beginning Balance Sheet'!$B$12</f>
        <v>900000</v>
      </c>
      <c r="M13" s="3">
        <f>'Beginning Balance Sheet'!$B$12</f>
        <v>900000</v>
      </c>
    </row>
    <row r="14" spans="1:13" ht="16.8" x14ac:dyDescent="0.4">
      <c r="A14" s="14" t="s">
        <v>25</v>
      </c>
      <c r="B14" s="8">
        <f>'Beginning Balance Sheet'!B13-'M-Budgeting Assumptions'!$B$25</f>
        <v>-300000</v>
      </c>
      <c r="C14" s="8">
        <f>B14-'M-Budgeting Assumptions'!$B$25</f>
        <v>-308000</v>
      </c>
      <c r="D14" s="8">
        <f>C14-'M-Budgeting Assumptions'!$B$25</f>
        <v>-316000</v>
      </c>
      <c r="E14" s="8">
        <f>D14-'M-Budgeting Assumptions'!$B$25</f>
        <v>-324000</v>
      </c>
      <c r="F14" s="8">
        <f>E14-'M-Budgeting Assumptions'!$B$25</f>
        <v>-332000</v>
      </c>
      <c r="G14" s="8">
        <f>F14-'M-Budgeting Assumptions'!$B$25</f>
        <v>-340000</v>
      </c>
      <c r="H14" s="8">
        <f>G14-'M-Budgeting Assumptions'!$B$25</f>
        <v>-348000</v>
      </c>
      <c r="I14" s="8">
        <f>H14-'M-Budgeting Assumptions'!$B$25</f>
        <v>-356000</v>
      </c>
      <c r="J14" s="8">
        <f>I14-'M-Budgeting Assumptions'!$B$25</f>
        <v>-364000</v>
      </c>
      <c r="K14" s="8">
        <f>J14-'M-Budgeting Assumptions'!$B$25</f>
        <v>-372000</v>
      </c>
      <c r="L14" s="8">
        <f>K14-'M-Budgeting Assumptions'!$B$25</f>
        <v>-380000</v>
      </c>
      <c r="M14" s="8">
        <f>L14-'M-Budgeting Assumptions'!$B$25</f>
        <v>-388000</v>
      </c>
    </row>
    <row r="15" spans="1:13" ht="16.8" x14ac:dyDescent="0.4">
      <c r="A15" s="15" t="s">
        <v>26</v>
      </c>
      <c r="B15" s="8">
        <f>SUM(B13:B14)</f>
        <v>600000</v>
      </c>
      <c r="C15" s="8">
        <f t="shared" ref="C15:M15" si="1">SUM(C13:C14)</f>
        <v>592000</v>
      </c>
      <c r="D15" s="8">
        <f t="shared" si="1"/>
        <v>584000</v>
      </c>
      <c r="E15" s="8">
        <f t="shared" si="1"/>
        <v>576000</v>
      </c>
      <c r="F15" s="8">
        <f t="shared" si="1"/>
        <v>568000</v>
      </c>
      <c r="G15" s="8">
        <f t="shared" si="1"/>
        <v>560000</v>
      </c>
      <c r="H15" s="8">
        <f t="shared" si="1"/>
        <v>552000</v>
      </c>
      <c r="I15" s="8">
        <f t="shared" si="1"/>
        <v>544000</v>
      </c>
      <c r="J15" s="8">
        <f t="shared" si="1"/>
        <v>536000</v>
      </c>
      <c r="K15" s="8">
        <f t="shared" si="1"/>
        <v>528000</v>
      </c>
      <c r="L15" s="8">
        <f t="shared" si="1"/>
        <v>520000</v>
      </c>
      <c r="M15" s="8">
        <f t="shared" si="1"/>
        <v>512000</v>
      </c>
    </row>
    <row r="16" spans="1:13" ht="16.8" x14ac:dyDescent="0.25">
      <c r="A16" s="15" t="s">
        <v>9</v>
      </c>
      <c r="B16" s="40">
        <f>B11+B15</f>
        <v>738460.625</v>
      </c>
      <c r="C16" s="40">
        <f t="shared" ref="C16:M16" si="2">C11+C15</f>
        <v>705808.125</v>
      </c>
      <c r="D16" s="40">
        <f t="shared" si="2"/>
        <v>699612.5</v>
      </c>
      <c r="E16" s="40">
        <f t="shared" si="2"/>
        <v>702525</v>
      </c>
      <c r="F16" s="40">
        <f t="shared" si="2"/>
        <v>729737.5</v>
      </c>
      <c r="G16" s="40">
        <f t="shared" si="2"/>
        <v>807125</v>
      </c>
      <c r="H16" s="40">
        <f t="shared" si="2"/>
        <v>868506.875</v>
      </c>
      <c r="I16" s="40">
        <f t="shared" si="2"/>
        <v>913247.5</v>
      </c>
      <c r="J16" s="40">
        <f t="shared" si="2"/>
        <v>887526.25</v>
      </c>
      <c r="K16" s="40">
        <f t="shared" si="2"/>
        <v>868696.25</v>
      </c>
      <c r="L16" s="40">
        <f t="shared" si="2"/>
        <v>856083.125</v>
      </c>
      <c r="M16" s="40">
        <f t="shared" si="2"/>
        <v>775746.0625</v>
      </c>
    </row>
    <row r="17" spans="1:13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6" x14ac:dyDescent="0.3">
      <c r="A18" s="23" t="s">
        <v>10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</row>
    <row r="19" spans="1:13" x14ac:dyDescent="0.25">
      <c r="A19" s="1" t="s">
        <v>11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x14ac:dyDescent="0.25">
      <c r="A20" s="14" t="s">
        <v>123</v>
      </c>
      <c r="B20" s="5">
        <f>'M-Merchandise Purchases Budget'!B10*'M-Budgeting Assumptions'!$B$16</f>
        <v>34010.625</v>
      </c>
      <c r="C20" s="5">
        <f>'M-Merchandise Purchases Budget'!C10*'M-Budgeting Assumptions'!$B$16</f>
        <v>32608.125</v>
      </c>
      <c r="D20" s="5">
        <f>'M-Merchandise Purchases Budget'!D10*'M-Budgeting Assumptions'!$B$16</f>
        <v>43126.875000000007</v>
      </c>
      <c r="E20" s="5">
        <f>'M-Merchandise Purchases Budget'!E10*'M-Budgeting Assumptions'!$B$16</f>
        <v>49438.125</v>
      </c>
      <c r="F20" s="5">
        <f>'M-Merchandise Purchases Budget'!F10*'M-Budgeting Assumptions'!$B$16</f>
        <v>70475.625</v>
      </c>
      <c r="G20" s="5">
        <f>'M-Merchandise Purchases Budget'!G10*'M-Budgeting Assumptions'!$B$16</f>
        <v>110446.875</v>
      </c>
      <c r="H20" s="5">
        <f>'M-Merchandise Purchases Budget'!H10*'M-Budgeting Assumptions'!$B$16</f>
        <v>128328.75</v>
      </c>
      <c r="I20" s="5">
        <f>'M-Merchandise Purchases Budget'!I10*'M-Budgeting Assumptions'!$B$16</f>
        <v>123069.375</v>
      </c>
      <c r="J20" s="5">
        <f>'M-Merchandise Purchases Budget'!J10*'M-Budgeting Assumptions'!$B$16</f>
        <v>83098.125000000015</v>
      </c>
      <c r="K20" s="5">
        <f>'M-Merchandise Purchases Budget'!K10*'M-Budgeting Assumptions'!$B$16</f>
        <v>66268.125</v>
      </c>
      <c r="L20" s="5">
        <f>'M-Merchandise Purchases Budget'!L10*'M-Budgeting Assumptions'!$B$16</f>
        <v>58905</v>
      </c>
      <c r="M20" s="5">
        <f>'M-Merchandise Purchases Budget'!M10*'M-Budgeting Assumptions'!$B$16</f>
        <v>44996.875</v>
      </c>
    </row>
    <row r="21" spans="1:13" x14ac:dyDescent="0.25">
      <c r="A21" s="14" t="s">
        <v>126</v>
      </c>
      <c r="B21" s="3">
        <f>'M-Cash Budget'!$B$16</f>
        <v>0</v>
      </c>
      <c r="C21" s="3">
        <f>'M-Cash Budget'!$B$16+'M-Cash Budget'!$C$16</f>
        <v>0</v>
      </c>
      <c r="D21" s="3">
        <f>'M-Cash Budget'!$B$16+'M-Cash Budget'!$C$16+'M-Cash Budget'!$D$16</f>
        <v>4785.625</v>
      </c>
      <c r="E21" s="3">
        <f>'M-Cash Budget'!$B$16+'M-Cash Budget'!$C$16+'M-Cash Budget'!$D$16+'M-Cash Budget'!$E$16</f>
        <v>19636.875</v>
      </c>
      <c r="F21" s="3">
        <f>'M-Cash Budget'!$B$16+'M-Cash Budget'!$C$16+'M-Cash Budget'!$D$16+'M-Cash Budget'!$E$16+'M-Cash Budget'!$F$16</f>
        <v>34311.875</v>
      </c>
      <c r="G21" s="3">
        <f>'M-Cash Budget'!$B$16+'M-Cash Budget'!$C$16+'M-Cash Budget'!$D$16+'M-Cash Budget'!$E$16+'M-Cash Budget'!$F$16+'M-Cash Budget'!$G$16</f>
        <v>44478.125</v>
      </c>
      <c r="H21" s="3">
        <f>'M-Cash Budget'!$B$16+'M-Cash Budget'!$C$16+'M-Cash Budget'!$D$16+'M-Cash Budget'!$E$16+'M-Cash Budget'!$F$16+'M-Cash Budget'!$G$16+'M-Cash Budget'!$H$16</f>
        <v>44478.125</v>
      </c>
      <c r="I21" s="3">
        <f>'M-Cash Budget'!$B$16+'M-Cash Budget'!$C$16+'M-Cash Budget'!$D$16+'M-Cash Budget'!$E$16+'M-Cash Budget'!$F$16+'M-Cash Budget'!$G$16+'M-Cash Budget'!$H$16+'M-Cash Budget'!$I$16</f>
        <v>44478.125</v>
      </c>
      <c r="J21" s="3">
        <f>'M-Cash Budget'!$B$16+'M-Cash Budget'!$C$16+'M-Cash Budget'!$D$16+'M-Cash Budget'!$E$16+'M-Cash Budget'!$F$16+'M-Cash Budget'!$G$16+'M-Cash Budget'!$H$16+'M-Cash Budget'!$I$16+'M-Cash Budget'!$J$16</f>
        <v>44478.125</v>
      </c>
      <c r="K21" s="3">
        <f>'M-Cash Budget'!$B$16+'M-Cash Budget'!$C$16+'M-Cash Budget'!$D$16+'M-Cash Budget'!$E$16+'M-Cash Budget'!$F$16+'M-Cash Budget'!$G$16+'M-Cash Budget'!$H$16+'M-Cash Budget'!$I$16+'M-Cash Budget'!$J$16+'M-Cash Budget'!$K$16</f>
        <v>44478.125</v>
      </c>
      <c r="L21" s="3">
        <f>'M-Cash Budget'!$B$16+'M-Cash Budget'!$C$16+'M-Cash Budget'!$D$16+'M-Cash Budget'!$E$16+'M-Cash Budget'!$F$16+'M-Cash Budget'!$G$16+'M-Cash Budget'!$H$16+'M-Cash Budget'!$I$16+'M-Cash Budget'!$J$16+'M-Cash Budget'!$K$16+'M-Cash Budget'!$L$16</f>
        <v>44478.125</v>
      </c>
      <c r="M21" s="3">
        <f>'M-Cash Budget'!$B$16+'M-Cash Budget'!$C$16+'M-Cash Budget'!$D$16+'M-Cash Budget'!$E$16+'M-Cash Budget'!$F$16+'M-Cash Budget'!$G$16+'M-Cash Budget'!$H$16+'M-Cash Budget'!$I$16+'M-Cash Budget'!$J$16+'M-Cash Budget'!$K$16+'M-Cash Budget'!$L$16+'M-Cash Budget'!M17</f>
        <v>0</v>
      </c>
    </row>
    <row r="22" spans="1:13" ht="16.8" x14ac:dyDescent="0.4">
      <c r="A22" s="14" t="s">
        <v>127</v>
      </c>
      <c r="B22" s="8">
        <f>'M-Budgeted Income Statements'!$B$12</f>
        <v>0</v>
      </c>
      <c r="C22" s="8">
        <f>'M-Budgeted Income Statements'!$B$12+'M-Budgeted Income Statements'!$C$12</f>
        <v>0</v>
      </c>
      <c r="D22" s="8">
        <f>'M-Budgeted Income Statements'!$B$12+'M-Budgeted Income Statements'!$C$12+'M-Budgeted Income Statements'!$D$12</f>
        <v>47.856250000000003</v>
      </c>
      <c r="E22" s="8">
        <f>'M-Budgeted Income Statements'!$B$12+'M-Budgeted Income Statements'!$C$12+'M-Budgeted Income Statements'!$D$12+'M-Budgeted Income Statements'!$E$12</f>
        <v>244.22500000000002</v>
      </c>
      <c r="F22" s="8">
        <f>'M-Budgeted Income Statements'!$B$12+'M-Budgeted Income Statements'!$C$12+'M-Budgeted Income Statements'!$D$12+'M-Budgeted Income Statements'!$E$12+'M-Budgeted Income Statements'!$F$12</f>
        <v>587.34375</v>
      </c>
      <c r="G22" s="8">
        <f>'M-Budgeted Income Statements'!$B$12+'M-Budgeted Income Statements'!$C$12+'M-Budgeted Income Statements'!$D$12+'M-Budgeted Income Statements'!$E$12+'M-Budgeted Income Statements'!$F$12+'M-Budgeted Income Statements'!$G$12</f>
        <v>1032.125</v>
      </c>
      <c r="H22" s="8">
        <f>'M-Budgeted Income Statements'!$B$12+'M-Budgeted Income Statements'!$C$12+'M-Budgeted Income Statements'!$D$12+'M-Budgeted Income Statements'!$E$12+'M-Budgeted Income Statements'!$F$12+'M-Budgeted Income Statements'!$G$12+'M-Budgeted Income Statements'!$H$12</f>
        <v>1476.90625</v>
      </c>
      <c r="I22" s="8">
        <f>'M-Budgeted Income Statements'!$B$12+'M-Budgeted Income Statements'!$C$12+'M-Budgeted Income Statements'!$D$12+'M-Budgeted Income Statements'!$E$12+'M-Budgeted Income Statements'!$F$12+'M-Budgeted Income Statements'!$G$12+'M-Budgeted Income Statements'!$H$12+'M-Budgeted Income Statements'!$I$12</f>
        <v>1921.6875</v>
      </c>
      <c r="J22" s="8">
        <f>'M-Budgeted Income Statements'!$B$12+'M-Budgeted Income Statements'!$C$12+'M-Budgeted Income Statements'!$D$12+'M-Budgeted Income Statements'!$E$12+'M-Budgeted Income Statements'!$F$12+'M-Budgeted Income Statements'!$G$12+'M-Budgeted Income Statements'!$H$12+'M-Budgeted Income Statements'!$I$12+'M-Budgeted Income Statements'!$J$12</f>
        <v>2366.46875</v>
      </c>
      <c r="K22" s="8">
        <f>'M-Budgeted Income Statements'!$B$12+'M-Budgeted Income Statements'!$C$12+'M-Budgeted Income Statements'!$D$12+'M-Budgeted Income Statements'!$E$12+'M-Budgeted Income Statements'!$F$12+'M-Budgeted Income Statements'!$G$12+'M-Budgeted Income Statements'!$H$12+'M-Budgeted Income Statements'!$I$12+'M-Budgeted Income Statements'!$J$12+'M-Budgeted Income Statements'!$K$12</f>
        <v>2811.25</v>
      </c>
      <c r="L22" s="8">
        <f>'M-Budgeted Income Statements'!$B$12+'M-Budgeted Income Statements'!$C$12+'M-Budgeted Income Statements'!$D$12+'M-Budgeted Income Statements'!$E$12+'M-Budgeted Income Statements'!$F$12+'M-Budgeted Income Statements'!$G$12+'M-Budgeted Income Statements'!$H$12+'M-Budgeted Income Statements'!$I$12+'M-Budgeted Income Statements'!$J$12+'M-Budgeted Income Statements'!$K$12+'M-Budgeted Income Statements'!$L$12</f>
        <v>3256.03125</v>
      </c>
      <c r="M22" s="8">
        <f>'M-Budgeted Income Statements'!$B$12+'M-Budgeted Income Statements'!$C$12+'M-Budgeted Income Statements'!$D$12+'M-Budgeted Income Statements'!$E$12+'M-Budgeted Income Statements'!$F$12+'M-Budgeted Income Statements'!$G$12+'M-Budgeted Income Statements'!$H$12+'M-Budgeted Income Statements'!$I$12+'M-Budgeted Income Statements'!$J$12+'M-Budgeted Income Statements'!$K$12+'M-Budgeted Income Statements'!$L$12+'M-Budgeted Income Statements'!$M$12+'M-Cash Budget'!M18</f>
        <v>0</v>
      </c>
    </row>
    <row r="23" spans="1:13" x14ac:dyDescent="0.25">
      <c r="A23" s="14" t="s">
        <v>125</v>
      </c>
      <c r="B23" s="3">
        <f>SUM(B20:B22)</f>
        <v>34010.625</v>
      </c>
      <c r="C23" s="3">
        <f t="shared" ref="C23:M23" si="3">SUM(C20:C22)</f>
        <v>32608.125</v>
      </c>
      <c r="D23" s="3">
        <f t="shared" si="3"/>
        <v>47960.356250000004</v>
      </c>
      <c r="E23" s="3">
        <f t="shared" si="3"/>
        <v>69319.225000000006</v>
      </c>
      <c r="F23" s="3">
        <f t="shared" si="3"/>
        <v>105374.84375</v>
      </c>
      <c r="G23" s="3">
        <f t="shared" si="3"/>
        <v>155957.125</v>
      </c>
      <c r="H23" s="3">
        <f t="shared" si="3"/>
        <v>174283.78125</v>
      </c>
      <c r="I23" s="3">
        <f t="shared" si="3"/>
        <v>169469.1875</v>
      </c>
      <c r="J23" s="3">
        <f t="shared" si="3"/>
        <v>129942.71875000001</v>
      </c>
      <c r="K23" s="3">
        <f t="shared" si="3"/>
        <v>113557.5</v>
      </c>
      <c r="L23" s="3">
        <f t="shared" si="3"/>
        <v>106639.15625</v>
      </c>
      <c r="M23" s="3">
        <f t="shared" si="3"/>
        <v>44996.875</v>
      </c>
    </row>
    <row r="24" spans="1:13" x14ac:dyDescent="0.25">
      <c r="A24" s="1" t="s">
        <v>12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14" t="s">
        <v>124</v>
      </c>
      <c r="B25" s="3">
        <f>'Beginning Balance Sheet'!$B$21</f>
        <v>253000</v>
      </c>
      <c r="C25" s="3">
        <f>'Beginning Balance Sheet'!$B$21</f>
        <v>253000</v>
      </c>
      <c r="D25" s="3">
        <f>'Beginning Balance Sheet'!$B$21</f>
        <v>253000</v>
      </c>
      <c r="E25" s="3">
        <f>'Beginning Balance Sheet'!$B$21</f>
        <v>253000</v>
      </c>
      <c r="F25" s="3">
        <f>'Beginning Balance Sheet'!$B$21</f>
        <v>253000</v>
      </c>
      <c r="G25" s="3">
        <f>'Beginning Balance Sheet'!$B$21</f>
        <v>253000</v>
      </c>
      <c r="H25" s="3">
        <f>'Beginning Balance Sheet'!$B$21</f>
        <v>253000</v>
      </c>
      <c r="I25" s="3">
        <f>'Beginning Balance Sheet'!$B$21</f>
        <v>253000</v>
      </c>
      <c r="J25" s="3">
        <f>'Beginning Balance Sheet'!$B$21</f>
        <v>253000</v>
      </c>
      <c r="K25" s="3">
        <f>'Beginning Balance Sheet'!$B$21</f>
        <v>253000</v>
      </c>
      <c r="L25" s="3">
        <f>'Beginning Balance Sheet'!$B$21</f>
        <v>253000</v>
      </c>
      <c r="M25" s="3">
        <f>'Beginning Balance Sheet'!$B$21</f>
        <v>253000</v>
      </c>
    </row>
    <row r="26" spans="1:13" ht="16.8" x14ac:dyDescent="0.4">
      <c r="A26" s="14" t="s">
        <v>27</v>
      </c>
      <c r="B26" s="8">
        <f>'Beginning Balance Sheet'!B22+'M-Budgeted Income Statements'!B13</f>
        <v>451450</v>
      </c>
      <c r="C26" s="8">
        <f>B26+'M-Budgeted Income Statements'!C13</f>
        <v>420200</v>
      </c>
      <c r="D26" s="8">
        <f>C26+'M-Budgeted Income Statements'!D13</f>
        <v>398652.14374999999</v>
      </c>
      <c r="E26" s="8">
        <f>D26+'M-Budgeted Income Statements'!E13</f>
        <v>380205.77499999997</v>
      </c>
      <c r="F26" s="8">
        <f>E26+'M-Budgeted Income Statements'!F13</f>
        <v>371362.65624999994</v>
      </c>
      <c r="G26" s="8">
        <f>F26+'M-Budgeted Income Statements'!G13</f>
        <v>398167.87499999994</v>
      </c>
      <c r="H26" s="8">
        <f>G26+'M-Budgeted Income Statements'!H13</f>
        <v>441223.09374999994</v>
      </c>
      <c r="I26" s="8">
        <f>H26+'M-Budgeted Income Statements'!I13</f>
        <v>490778.31249999994</v>
      </c>
      <c r="J26" s="8">
        <f>I26+'M-Budgeted Income Statements'!J13</f>
        <v>504583.53124999994</v>
      </c>
      <c r="K26" s="8">
        <f>J26+'M-Budgeted Income Statements'!K13</f>
        <v>502138.74999999994</v>
      </c>
      <c r="L26" s="8">
        <f>K26+'M-Budgeted Income Statements'!L13</f>
        <v>496443.96874999994</v>
      </c>
      <c r="M26" s="8">
        <f>L26+'M-Budgeted Income Statements'!M13</f>
        <v>477749.18749999994</v>
      </c>
    </row>
    <row r="27" spans="1:13" ht="16.8" x14ac:dyDescent="0.4">
      <c r="A27" s="15" t="s">
        <v>28</v>
      </c>
      <c r="B27" s="8">
        <f>SUM(B25:B26)</f>
        <v>704450</v>
      </c>
      <c r="C27" s="8">
        <f t="shared" ref="C27:M27" si="4">SUM(C25:C26)</f>
        <v>673200</v>
      </c>
      <c r="D27" s="8">
        <f t="shared" si="4"/>
        <v>651652.14375000005</v>
      </c>
      <c r="E27" s="8">
        <f t="shared" si="4"/>
        <v>633205.77499999991</v>
      </c>
      <c r="F27" s="8">
        <f t="shared" si="4"/>
        <v>624362.65625</v>
      </c>
      <c r="G27" s="8">
        <f t="shared" si="4"/>
        <v>651167.875</v>
      </c>
      <c r="H27" s="8">
        <f t="shared" si="4"/>
        <v>694223.09375</v>
      </c>
      <c r="I27" s="8">
        <f t="shared" si="4"/>
        <v>743778.3125</v>
      </c>
      <c r="J27" s="8">
        <f t="shared" si="4"/>
        <v>757583.53125</v>
      </c>
      <c r="K27" s="8">
        <f t="shared" si="4"/>
        <v>755138.75</v>
      </c>
      <c r="L27" s="8">
        <f t="shared" si="4"/>
        <v>749443.96875</v>
      </c>
      <c r="M27" s="8">
        <f t="shared" si="4"/>
        <v>730749.1875</v>
      </c>
    </row>
    <row r="28" spans="1:13" ht="16.8" x14ac:dyDescent="0.25">
      <c r="A28" s="1" t="s">
        <v>13</v>
      </c>
      <c r="B28" s="40">
        <f>B23+B27</f>
        <v>738460.625</v>
      </c>
      <c r="C28" s="40">
        <f t="shared" ref="C28:M28" si="5">C23+C27</f>
        <v>705808.125</v>
      </c>
      <c r="D28" s="40">
        <f t="shared" si="5"/>
        <v>699612.5</v>
      </c>
      <c r="E28" s="40">
        <f t="shared" si="5"/>
        <v>702524.99999999988</v>
      </c>
      <c r="F28" s="40">
        <f t="shared" si="5"/>
        <v>729737.5</v>
      </c>
      <c r="G28" s="40">
        <f t="shared" si="5"/>
        <v>807125</v>
      </c>
      <c r="H28" s="40">
        <f t="shared" si="5"/>
        <v>868506.875</v>
      </c>
      <c r="I28" s="40">
        <f t="shared" si="5"/>
        <v>913247.5</v>
      </c>
      <c r="J28" s="40">
        <f t="shared" si="5"/>
        <v>887526.25</v>
      </c>
      <c r="K28" s="40">
        <f t="shared" si="5"/>
        <v>868696.25</v>
      </c>
      <c r="L28" s="40">
        <f t="shared" si="5"/>
        <v>856083.125</v>
      </c>
      <c r="M28" s="40">
        <f t="shared" si="5"/>
        <v>775746.0625</v>
      </c>
    </row>
    <row r="31" spans="1:13" x14ac:dyDescent="0.25"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</row>
  </sheetData>
  <mergeCells count="3">
    <mergeCell ref="A1:M1"/>
    <mergeCell ref="A2:M2"/>
    <mergeCell ref="A3:M3"/>
  </mergeCells>
  <phoneticPr fontId="0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0.39997558519241921"/>
  </sheetPr>
  <dimension ref="A1:M31"/>
  <sheetViews>
    <sheetView zoomScaleNormal="100" workbookViewId="0">
      <selection activeCell="B27" sqref="B27:M27"/>
    </sheetView>
  </sheetViews>
  <sheetFormatPr defaultColWidth="9.109375" defaultRowHeight="15" x14ac:dyDescent="0.25"/>
  <cols>
    <col min="1" max="1" width="41.44140625" style="1" bestFit="1" customWidth="1"/>
    <col min="2" max="3" width="15" style="1" customWidth="1"/>
    <col min="4" max="4" width="15" style="10" customWidth="1"/>
    <col min="5" max="13" width="15" style="1" customWidth="1"/>
    <col min="14" max="16384" width="9.109375" style="1"/>
  </cols>
  <sheetData>
    <row r="1" spans="1:13" ht="15.6" x14ac:dyDescent="0.3">
      <c r="A1" s="80" t="s">
        <v>77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3" ht="15.6" x14ac:dyDescent="0.3">
      <c r="A2" s="80" t="s">
        <v>181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</row>
    <row r="3" spans="1:13" ht="15.6" x14ac:dyDescent="0.3">
      <c r="A3" s="84" t="s">
        <v>121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</row>
    <row r="4" spans="1:13" ht="15.6" x14ac:dyDescent="0.3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</row>
    <row r="5" spans="1:13" ht="15.6" x14ac:dyDescent="0.3">
      <c r="A5" s="22"/>
      <c r="B5" s="2" t="s">
        <v>80</v>
      </c>
      <c r="C5" s="2" t="s">
        <v>81</v>
      </c>
      <c r="D5" s="2" t="s">
        <v>82</v>
      </c>
      <c r="E5" s="2" t="s">
        <v>83</v>
      </c>
      <c r="F5" s="2" t="s">
        <v>99</v>
      </c>
      <c r="G5" s="2" t="s">
        <v>85</v>
      </c>
      <c r="H5" s="2" t="s">
        <v>86</v>
      </c>
      <c r="I5" s="2" t="s">
        <v>87</v>
      </c>
      <c r="J5" s="2" t="s">
        <v>88</v>
      </c>
      <c r="K5" s="2" t="s">
        <v>89</v>
      </c>
      <c r="L5" s="2" t="s">
        <v>90</v>
      </c>
      <c r="M5" s="2" t="s">
        <v>91</v>
      </c>
    </row>
    <row r="6" spans="1:13" ht="15.6" x14ac:dyDescent="0.3">
      <c r="A6" s="23" t="s">
        <v>6</v>
      </c>
      <c r="B6" s="23"/>
      <c r="C6" s="23"/>
      <c r="D6" s="23"/>
    </row>
    <row r="7" spans="1:13" x14ac:dyDescent="0.25">
      <c r="A7" s="1" t="s">
        <v>7</v>
      </c>
      <c r="B7" s="5"/>
    </row>
    <row r="8" spans="1:13" x14ac:dyDescent="0.25">
      <c r="A8" s="14" t="s">
        <v>21</v>
      </c>
      <c r="B8" s="5">
        <f>'F-Cash Budget'!B20</f>
        <v>64926.25</v>
      </c>
      <c r="C8" s="5">
        <f>'F-Cash Budget'!C20</f>
        <v>48763.125</v>
      </c>
      <c r="D8" s="5">
        <f>'F-Cash Budget'!D20</f>
        <v>30000</v>
      </c>
      <c r="E8" s="5">
        <f>'F-Cash Budget'!E20</f>
        <v>30000</v>
      </c>
      <c r="F8" s="5">
        <f>'F-Cash Budget'!F20</f>
        <v>30000</v>
      </c>
      <c r="G8" s="5">
        <f>'F-Cash Budget'!G20</f>
        <v>30000</v>
      </c>
      <c r="H8" s="5">
        <f>'F-Cash Budget'!H20</f>
        <v>72573.28125</v>
      </c>
      <c r="I8" s="5">
        <f>'F-Cash Budget'!I20</f>
        <v>135551.0625</v>
      </c>
      <c r="J8" s="5">
        <f>'F-Cash Budget'!J20</f>
        <v>212469.96875</v>
      </c>
      <c r="K8" s="5">
        <f>'F-Cash Budget'!K20</f>
        <v>247801.59375</v>
      </c>
      <c r="L8" s="5">
        <f>'F-Cash Budget'!L20</f>
        <v>266433.59375</v>
      </c>
      <c r="M8" s="5">
        <f>'F-Cash Budget'!M20</f>
        <v>188746.30781249999</v>
      </c>
    </row>
    <row r="9" spans="1:13" x14ac:dyDescent="0.25">
      <c r="A9" s="14" t="s">
        <v>22</v>
      </c>
      <c r="B9" s="3">
        <f>'F-Sales Budget'!B8*'F-Budgeting Assumptions'!$B$10</f>
        <v>57600</v>
      </c>
      <c r="C9" s="3">
        <f>'F-Sales Budget'!C8*'F-Budgeting Assumptions'!$B$10</f>
        <v>43200</v>
      </c>
      <c r="D9" s="3">
        <f>'F-Sales Budget'!D8*'F-Budgeting Assumptions'!$B$10</f>
        <v>64800</v>
      </c>
      <c r="E9" s="3">
        <f>'F-Sales Budget'!E8*'F-Budgeting Assumptions'!$B$10</f>
        <v>72000</v>
      </c>
      <c r="F9" s="3">
        <f>'F-Sales Budget'!F8*'F-Budgeting Assumptions'!$B$10</f>
        <v>86400</v>
      </c>
      <c r="G9" s="3">
        <f>'F-Sales Budget'!G8*'F-Budgeting Assumptions'!$B$10</f>
        <v>205200</v>
      </c>
      <c r="H9" s="3">
        <f>'F-Sales Budget'!H8*'F-Budgeting Assumptions'!$B$10</f>
        <v>239400</v>
      </c>
      <c r="I9" s="3">
        <f>'F-Sales Budget'!I8*'F-Budgeting Assumptions'!$B$10</f>
        <v>250200</v>
      </c>
      <c r="J9" s="3">
        <f>'F-Sales Budget'!J8*'F-Budgeting Assumptions'!$B$10</f>
        <v>168480</v>
      </c>
      <c r="K9" s="3">
        <f>'F-Sales Budget'!K8*'F-Budgeting Assumptions'!$B$10</f>
        <v>131040</v>
      </c>
      <c r="L9" s="3">
        <f>'F-Sales Budget'!L8*'F-Budgeting Assumptions'!$B$10</f>
        <v>86400</v>
      </c>
      <c r="M9" s="3">
        <f>'F-Sales Budget'!M8*'F-Budgeting Assumptions'!$B$10</f>
        <v>64800</v>
      </c>
    </row>
    <row r="10" spans="1:13" ht="16.8" x14ac:dyDescent="0.4">
      <c r="A10" s="14" t="s">
        <v>122</v>
      </c>
      <c r="B10" s="8">
        <f>'F-Merchandise Purchases Budget'!B7</f>
        <v>7425.0000000000009</v>
      </c>
      <c r="C10" s="8">
        <f>'F-Merchandise Purchases Budget'!C7</f>
        <v>11137.5</v>
      </c>
      <c r="D10" s="8">
        <f>'F-Merchandise Purchases Budget'!D7</f>
        <v>12375.000000000002</v>
      </c>
      <c r="E10" s="8">
        <f>'F-Merchandise Purchases Budget'!E7</f>
        <v>14850.000000000002</v>
      </c>
      <c r="F10" s="8">
        <f>'F-Merchandise Purchases Budget'!F7</f>
        <v>35268.75</v>
      </c>
      <c r="G10" s="8">
        <f>'F-Merchandise Purchases Budget'!G7</f>
        <v>41146.875</v>
      </c>
      <c r="H10" s="8">
        <f>'F-Merchandise Purchases Budget'!H7</f>
        <v>43003.125</v>
      </c>
      <c r="I10" s="8">
        <f>'F-Merchandise Purchases Budget'!I7</f>
        <v>28957.500000000004</v>
      </c>
      <c r="J10" s="8">
        <f>'F-Merchandise Purchases Budget'!J7</f>
        <v>22522.5</v>
      </c>
      <c r="K10" s="8">
        <f>'F-Merchandise Purchases Budget'!K7</f>
        <v>14850.000000000002</v>
      </c>
      <c r="L10" s="8">
        <f>'F-Merchandise Purchases Budget'!L7</f>
        <v>11137.5</v>
      </c>
      <c r="M10" s="8">
        <f>'F-Merchandise Purchases Budget'!M7</f>
        <v>12100</v>
      </c>
    </row>
    <row r="11" spans="1:13" x14ac:dyDescent="0.25">
      <c r="A11" s="15" t="s">
        <v>23</v>
      </c>
      <c r="B11" s="3">
        <f>SUM(B8:B10)</f>
        <v>129951.25</v>
      </c>
      <c r="C11" s="3">
        <f t="shared" ref="C11:M11" si="0">SUM(C8:C10)</f>
        <v>103100.625</v>
      </c>
      <c r="D11" s="3">
        <f t="shared" si="0"/>
        <v>107175</v>
      </c>
      <c r="E11" s="3">
        <f t="shared" si="0"/>
        <v>116850</v>
      </c>
      <c r="F11" s="3">
        <f t="shared" si="0"/>
        <v>151668.75</v>
      </c>
      <c r="G11" s="3">
        <f t="shared" si="0"/>
        <v>276346.875</v>
      </c>
      <c r="H11" s="3">
        <f t="shared" si="0"/>
        <v>354976.40625</v>
      </c>
      <c r="I11" s="3">
        <f t="shared" si="0"/>
        <v>414708.5625</v>
      </c>
      <c r="J11" s="3">
        <f t="shared" si="0"/>
        <v>403472.46875</v>
      </c>
      <c r="K11" s="3">
        <f t="shared" si="0"/>
        <v>393691.59375</v>
      </c>
      <c r="L11" s="3">
        <f t="shared" si="0"/>
        <v>363971.09375</v>
      </c>
      <c r="M11" s="3">
        <f t="shared" si="0"/>
        <v>265646.30781249999</v>
      </c>
    </row>
    <row r="12" spans="1:13" x14ac:dyDescent="0.25">
      <c r="A12" s="1" t="s">
        <v>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25">
      <c r="A13" s="14" t="s">
        <v>24</v>
      </c>
      <c r="B13" s="3">
        <f>'Beginning Balance Sheet'!$B$12</f>
        <v>900000</v>
      </c>
      <c r="C13" s="3">
        <f>'Beginning Balance Sheet'!$B$12</f>
        <v>900000</v>
      </c>
      <c r="D13" s="3">
        <f>'Beginning Balance Sheet'!$B$12</f>
        <v>900000</v>
      </c>
      <c r="E13" s="3">
        <f>'Beginning Balance Sheet'!$B$12</f>
        <v>900000</v>
      </c>
      <c r="F13" s="3">
        <f>'Beginning Balance Sheet'!$B$12</f>
        <v>900000</v>
      </c>
      <c r="G13" s="3">
        <f>'Beginning Balance Sheet'!$B$12</f>
        <v>900000</v>
      </c>
      <c r="H13" s="3">
        <f>'Beginning Balance Sheet'!$B$12</f>
        <v>900000</v>
      </c>
      <c r="I13" s="3">
        <f>'Beginning Balance Sheet'!$B$12</f>
        <v>900000</v>
      </c>
      <c r="J13" s="3">
        <f>'Beginning Balance Sheet'!$B$12</f>
        <v>900000</v>
      </c>
      <c r="K13" s="3">
        <f>'Beginning Balance Sheet'!$B$12</f>
        <v>900000</v>
      </c>
      <c r="L13" s="3">
        <f>'Beginning Balance Sheet'!$B$12</f>
        <v>900000</v>
      </c>
      <c r="M13" s="3">
        <f>'Beginning Balance Sheet'!$B$12</f>
        <v>900000</v>
      </c>
    </row>
    <row r="14" spans="1:13" ht="16.8" x14ac:dyDescent="0.4">
      <c r="A14" s="14" t="s">
        <v>25</v>
      </c>
      <c r="B14" s="8">
        <f>'Beginning Balance Sheet'!B13-'F-Budgeting Assumptions'!$B$25</f>
        <v>-300000</v>
      </c>
      <c r="C14" s="8">
        <f>B14-'F-Budgeting Assumptions'!$B$25</f>
        <v>-308000</v>
      </c>
      <c r="D14" s="8">
        <f>C14-'F-Budgeting Assumptions'!$B$25</f>
        <v>-316000</v>
      </c>
      <c r="E14" s="8">
        <f>D14-'F-Budgeting Assumptions'!$B$25</f>
        <v>-324000</v>
      </c>
      <c r="F14" s="8">
        <f>E14-'F-Budgeting Assumptions'!$B$25</f>
        <v>-332000</v>
      </c>
      <c r="G14" s="8">
        <f>F14-'F-Budgeting Assumptions'!$B$25</f>
        <v>-340000</v>
      </c>
      <c r="H14" s="8">
        <f>G14-'F-Budgeting Assumptions'!$B$25</f>
        <v>-348000</v>
      </c>
      <c r="I14" s="8">
        <f>H14-'F-Budgeting Assumptions'!$B$25</f>
        <v>-356000</v>
      </c>
      <c r="J14" s="8">
        <f>I14-'F-Budgeting Assumptions'!$B$25</f>
        <v>-364000</v>
      </c>
      <c r="K14" s="8">
        <f>J14-'F-Budgeting Assumptions'!$B$25</f>
        <v>-372000</v>
      </c>
      <c r="L14" s="8">
        <f>K14-'F-Budgeting Assumptions'!$B$25</f>
        <v>-380000</v>
      </c>
      <c r="M14" s="8">
        <f>L14-'F-Budgeting Assumptions'!$B$25</f>
        <v>-388000</v>
      </c>
    </row>
    <row r="15" spans="1:13" ht="16.8" x14ac:dyDescent="0.4">
      <c r="A15" s="15" t="s">
        <v>26</v>
      </c>
      <c r="B15" s="8">
        <f>SUM(B13:B14)</f>
        <v>600000</v>
      </c>
      <c r="C15" s="8">
        <f t="shared" ref="C15:M15" si="1">SUM(C13:C14)</f>
        <v>592000</v>
      </c>
      <c r="D15" s="8">
        <f t="shared" si="1"/>
        <v>584000</v>
      </c>
      <c r="E15" s="8">
        <f t="shared" si="1"/>
        <v>576000</v>
      </c>
      <c r="F15" s="8">
        <f t="shared" si="1"/>
        <v>568000</v>
      </c>
      <c r="G15" s="8">
        <f t="shared" si="1"/>
        <v>560000</v>
      </c>
      <c r="H15" s="8">
        <f t="shared" si="1"/>
        <v>552000</v>
      </c>
      <c r="I15" s="8">
        <f t="shared" si="1"/>
        <v>544000</v>
      </c>
      <c r="J15" s="8">
        <f t="shared" si="1"/>
        <v>536000</v>
      </c>
      <c r="K15" s="8">
        <f t="shared" si="1"/>
        <v>528000</v>
      </c>
      <c r="L15" s="8">
        <f t="shared" si="1"/>
        <v>520000</v>
      </c>
      <c r="M15" s="8">
        <f t="shared" si="1"/>
        <v>512000</v>
      </c>
    </row>
    <row r="16" spans="1:13" ht="16.8" x14ac:dyDescent="0.25">
      <c r="A16" s="15" t="s">
        <v>9</v>
      </c>
      <c r="B16" s="40">
        <f>B11+B15</f>
        <v>729951.25</v>
      </c>
      <c r="C16" s="40">
        <f t="shared" ref="C16:M16" si="2">C11+C15</f>
        <v>695100.625</v>
      </c>
      <c r="D16" s="40">
        <f t="shared" si="2"/>
        <v>691175</v>
      </c>
      <c r="E16" s="40">
        <f t="shared" si="2"/>
        <v>692850</v>
      </c>
      <c r="F16" s="40">
        <f t="shared" si="2"/>
        <v>719668.75</v>
      </c>
      <c r="G16" s="40">
        <f t="shared" si="2"/>
        <v>836346.875</v>
      </c>
      <c r="H16" s="40">
        <f t="shared" si="2"/>
        <v>906976.40625</v>
      </c>
      <c r="I16" s="40">
        <f t="shared" si="2"/>
        <v>958708.5625</v>
      </c>
      <c r="J16" s="40">
        <f t="shared" si="2"/>
        <v>939472.46875</v>
      </c>
      <c r="K16" s="40">
        <f t="shared" si="2"/>
        <v>921691.59375</v>
      </c>
      <c r="L16" s="40">
        <f t="shared" si="2"/>
        <v>883971.09375</v>
      </c>
      <c r="M16" s="40">
        <f t="shared" si="2"/>
        <v>777646.30781250005</v>
      </c>
    </row>
    <row r="17" spans="1:13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6" x14ac:dyDescent="0.3">
      <c r="A18" s="23" t="s">
        <v>10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</row>
    <row r="19" spans="1:13" x14ac:dyDescent="0.25">
      <c r="A19" s="1" t="s">
        <v>11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x14ac:dyDescent="0.25">
      <c r="A20" s="14" t="s">
        <v>123</v>
      </c>
      <c r="B20" s="5">
        <f>'F-Merchandise Purchases Budget'!B10*'F-Budgeting Assumptions'!$B$16</f>
        <v>28751.25</v>
      </c>
      <c r="C20" s="5">
        <f>'F-Merchandise Purchases Budget'!C10*'F-Budgeting Assumptions'!$B$16</f>
        <v>28400.625</v>
      </c>
      <c r="D20" s="5">
        <f>'F-Merchandise Purchases Budget'!D10*'F-Budgeting Assumptions'!$B$16</f>
        <v>38919.375</v>
      </c>
      <c r="E20" s="5">
        <f>'F-Merchandise Purchases Budget'!E10*'F-Budgeting Assumptions'!$B$16</f>
        <v>44178.750000000007</v>
      </c>
      <c r="F20" s="5">
        <f>'F-Merchandise Purchases Budget'!F10*'F-Budgeting Assumptions'!$B$16</f>
        <v>67845.9375</v>
      </c>
      <c r="G20" s="5">
        <f>'F-Merchandise Purchases Budget'!G10*'F-Budgeting Assumptions'!$B$16</f>
        <v>124910.15625</v>
      </c>
      <c r="H20" s="5">
        <f>'F-Merchandise Purchases Budget'!H10*'F-Budgeting Assumptions'!$B$16</f>
        <v>141477.1875</v>
      </c>
      <c r="I20" s="5">
        <f>'F-Merchandise Purchases Budget'!I10*'F-Budgeting Assumptions'!$B$16</f>
        <v>134271.84375</v>
      </c>
      <c r="J20" s="5">
        <f>'F-Merchandise Purchases Budget'!J10*'F-Budgeting Assumptions'!$B$16</f>
        <v>92985.75</v>
      </c>
      <c r="K20" s="5">
        <f>'F-Merchandise Purchases Budget'!K10*'F-Budgeting Assumptions'!$B$16</f>
        <v>70054.875</v>
      </c>
      <c r="L20" s="5">
        <f>'F-Merchandise Purchases Budget'!L10*'F-Budgeting Assumptions'!$B$16</f>
        <v>47334.375</v>
      </c>
      <c r="M20" s="5">
        <f>'F-Merchandise Purchases Budget'!M10*'F-Budgeting Assumptions'!$B$16</f>
        <v>38685.625</v>
      </c>
    </row>
    <row r="21" spans="1:13" x14ac:dyDescent="0.25">
      <c r="A21" s="14" t="s">
        <v>126</v>
      </c>
      <c r="B21" s="3">
        <f>'F-Cash Budget'!$B$16</f>
        <v>0</v>
      </c>
      <c r="C21" s="3">
        <f>'F-Cash Budget'!$B$16+'F-Cash Budget'!$C$16</f>
        <v>0</v>
      </c>
      <c r="D21" s="3">
        <f>'F-Cash Budget'!$B$16+'F-Cash Budget'!$C$16+'F-Cash Budget'!$D$16</f>
        <v>10305.625</v>
      </c>
      <c r="E21" s="3">
        <f>'F-Cash Budget'!$B$16+'F-Cash Budget'!$C$16+'F-Cash Budget'!$D$16+'F-Cash Budget'!$E$16</f>
        <v>28221.25</v>
      </c>
      <c r="F21" s="3">
        <f>'F-Cash Budget'!$B$16+'F-Cash Budget'!$C$16+'F-Cash Budget'!$D$16+'F-Cash Budget'!$E$16+'F-Cash Budget'!$F$16</f>
        <v>46372.8125</v>
      </c>
      <c r="G21" s="3">
        <f>'F-Cash Budget'!$B$16+'F-Cash Budget'!$C$16+'F-Cash Budget'!$D$16+'F-Cash Budget'!$E$16+'F-Cash Budget'!$F$16+'F-Cash Budget'!$G$16</f>
        <v>67361.71875</v>
      </c>
      <c r="H21" s="3">
        <f>'F-Cash Budget'!$B$16+'F-Cash Budget'!$C$16+'F-Cash Budget'!$D$16+'F-Cash Budget'!$E$16+'F-Cash Budget'!$F$16+'F-Cash Budget'!$G$16+'F-Cash Budget'!$H$16</f>
        <v>67361.71875</v>
      </c>
      <c r="I21" s="3">
        <f>'F-Cash Budget'!$B$16+'F-Cash Budget'!$C$16+'F-Cash Budget'!$D$16+'F-Cash Budget'!$E$16+'F-Cash Budget'!$F$16+'F-Cash Budget'!$G$16+'F-Cash Budget'!$H$16+'F-Cash Budget'!$I$16</f>
        <v>67361.71875</v>
      </c>
      <c r="J21" s="3">
        <f>'F-Cash Budget'!$B$16+'F-Cash Budget'!$C$16+'F-Cash Budget'!$D$16+'F-Cash Budget'!$E$16+'F-Cash Budget'!$F$16+'F-Cash Budget'!$G$16+'F-Cash Budget'!$H$16+'F-Cash Budget'!$I$16+'F-Cash Budget'!$J$16</f>
        <v>67361.71875</v>
      </c>
      <c r="K21" s="3">
        <f>'F-Cash Budget'!$B$16+'F-Cash Budget'!$C$16+'F-Cash Budget'!$D$16+'F-Cash Budget'!$E$16+'F-Cash Budget'!$F$16+'F-Cash Budget'!$G$16+'F-Cash Budget'!$H$16+'F-Cash Budget'!$I$16+'F-Cash Budget'!$J$16+'F-Cash Budget'!$K$16</f>
        <v>67361.71875</v>
      </c>
      <c r="L21" s="3">
        <f>'F-Cash Budget'!$B$16+'F-Cash Budget'!$C$16+'F-Cash Budget'!$D$16+'F-Cash Budget'!$E$16+'F-Cash Budget'!$F$16+'F-Cash Budget'!$G$16+'F-Cash Budget'!$H$16+'F-Cash Budget'!$I$16+'F-Cash Budget'!$J$16+'F-Cash Budget'!$K$16+'F-Cash Budget'!$L$16</f>
        <v>67361.71875</v>
      </c>
      <c r="M21" s="3">
        <f>'F-Cash Budget'!$B$16+'F-Cash Budget'!$C$16+'F-Cash Budget'!$D$16+'F-Cash Budget'!$E$16+'F-Cash Budget'!$F$16+'F-Cash Budget'!$G$16+'F-Cash Budget'!$H$16+'F-Cash Budget'!$I$16+'F-Cash Budget'!$J$16+'F-Cash Budget'!$K$16+'F-Cash Budget'!$L$16+'F-Cash Budget'!M17</f>
        <v>0</v>
      </c>
    </row>
    <row r="22" spans="1:13" ht="16.8" x14ac:dyDescent="0.4">
      <c r="A22" s="14" t="s">
        <v>127</v>
      </c>
      <c r="B22" s="8">
        <f>'F-Budgeted Income Statements'!$B$12</f>
        <v>0</v>
      </c>
      <c r="C22" s="8">
        <f>'F-Budgeted Income Statements'!$B$12+'F-Budgeted Income Statements'!$C$12</f>
        <v>0</v>
      </c>
      <c r="D22" s="8">
        <f>'F-Budgeted Income Statements'!$B$12+'F-Budgeted Income Statements'!$C$12+'F-Budgeted Income Statements'!$D$12</f>
        <v>103.05625000000001</v>
      </c>
      <c r="E22" s="8">
        <f>'F-Budgeted Income Statements'!$B$12+'F-Budgeted Income Statements'!$C$12+'F-Budgeted Income Statements'!$D$12+'F-Budgeted Income Statements'!$E$12</f>
        <v>385.26875000000007</v>
      </c>
      <c r="F22" s="8">
        <f>'F-Budgeted Income Statements'!$B$12+'F-Budgeted Income Statements'!$C$12+'F-Budgeted Income Statements'!$D$12+'F-Budgeted Income Statements'!$E$12+'F-Budgeted Income Statements'!$F$12</f>
        <v>848.99687500000005</v>
      </c>
      <c r="G22" s="8">
        <f>'F-Budgeted Income Statements'!$B$12+'F-Budgeted Income Statements'!$C$12+'F-Budgeted Income Statements'!$D$12+'F-Budgeted Income Statements'!$E$12+'F-Budgeted Income Statements'!$F$12+'F-Budgeted Income Statements'!$G$12</f>
        <v>1522.6140625</v>
      </c>
      <c r="H22" s="8">
        <f>'F-Budgeted Income Statements'!$B$12+'F-Budgeted Income Statements'!$C$12+'F-Budgeted Income Statements'!$D$12+'F-Budgeted Income Statements'!$E$12+'F-Budgeted Income Statements'!$F$12+'F-Budgeted Income Statements'!$G$12+'F-Budgeted Income Statements'!$H$12</f>
        <v>2196.2312499999998</v>
      </c>
      <c r="I22" s="8">
        <f>'F-Budgeted Income Statements'!$B$12+'F-Budgeted Income Statements'!$C$12+'F-Budgeted Income Statements'!$D$12+'F-Budgeted Income Statements'!$E$12+'F-Budgeted Income Statements'!$F$12+'F-Budgeted Income Statements'!$G$12+'F-Budgeted Income Statements'!$H$12+'F-Budgeted Income Statements'!$I$12</f>
        <v>2869.8484374999998</v>
      </c>
      <c r="J22" s="8">
        <f>'F-Budgeted Income Statements'!$B$12+'F-Budgeted Income Statements'!$C$12+'F-Budgeted Income Statements'!$D$12+'F-Budgeted Income Statements'!$E$12+'F-Budgeted Income Statements'!$F$12+'F-Budgeted Income Statements'!$G$12+'F-Budgeted Income Statements'!$H$12+'F-Budgeted Income Statements'!$I$12+'F-Budgeted Income Statements'!$J$12</f>
        <v>3543.4656249999998</v>
      </c>
      <c r="K22" s="8">
        <f>'F-Budgeted Income Statements'!$B$12+'F-Budgeted Income Statements'!$C$12+'F-Budgeted Income Statements'!$D$12+'F-Budgeted Income Statements'!$E$12+'F-Budgeted Income Statements'!$F$12+'F-Budgeted Income Statements'!$G$12+'F-Budgeted Income Statements'!$H$12+'F-Budgeted Income Statements'!$I$12+'F-Budgeted Income Statements'!$J$12+'F-Budgeted Income Statements'!$K$12</f>
        <v>4217.0828124999998</v>
      </c>
      <c r="L22" s="8">
        <f>'F-Budgeted Income Statements'!$B$12+'F-Budgeted Income Statements'!$C$12+'F-Budgeted Income Statements'!$D$12+'F-Budgeted Income Statements'!$E$12+'F-Budgeted Income Statements'!$F$12+'F-Budgeted Income Statements'!$G$12+'F-Budgeted Income Statements'!$H$12+'F-Budgeted Income Statements'!$I$12+'F-Budgeted Income Statements'!$J$12+'F-Budgeted Income Statements'!$K$12+'F-Budgeted Income Statements'!$L$12</f>
        <v>4890.7</v>
      </c>
      <c r="M22" s="8">
        <f>'F-Budgeted Income Statements'!$B$12+'F-Budgeted Income Statements'!$C$12+'F-Budgeted Income Statements'!$D$12+'F-Budgeted Income Statements'!$E$12+'F-Budgeted Income Statements'!$F$12+'F-Budgeted Income Statements'!$G$12+'F-Budgeted Income Statements'!$H$12+'F-Budgeted Income Statements'!$I$12+'F-Budgeted Income Statements'!$J$12+'F-Budgeted Income Statements'!$K$12+'F-Budgeted Income Statements'!$L$12+'F-Budgeted Income Statements'!$M$12+'F-Cash Budget'!M18</f>
        <v>0</v>
      </c>
    </row>
    <row r="23" spans="1:13" x14ac:dyDescent="0.25">
      <c r="A23" s="14" t="s">
        <v>125</v>
      </c>
      <c r="B23" s="3">
        <f>SUM(B20:B22)</f>
        <v>28751.25</v>
      </c>
      <c r="C23" s="3">
        <f t="shared" ref="C23:M23" si="3">SUM(C20:C22)</f>
        <v>28400.625</v>
      </c>
      <c r="D23" s="3">
        <f t="shared" si="3"/>
        <v>49328.056250000001</v>
      </c>
      <c r="E23" s="3">
        <f t="shared" si="3"/>
        <v>72785.268750000003</v>
      </c>
      <c r="F23" s="3">
        <f t="shared" si="3"/>
        <v>115067.746875</v>
      </c>
      <c r="G23" s="3">
        <f t="shared" si="3"/>
        <v>193794.48906250001</v>
      </c>
      <c r="H23" s="3">
        <f t="shared" si="3"/>
        <v>211035.13750000001</v>
      </c>
      <c r="I23" s="3">
        <f t="shared" si="3"/>
        <v>204503.41093750001</v>
      </c>
      <c r="J23" s="3">
        <f t="shared" si="3"/>
        <v>163890.93437500001</v>
      </c>
      <c r="K23" s="3">
        <f t="shared" si="3"/>
        <v>141633.67656250001</v>
      </c>
      <c r="L23" s="3">
        <f t="shared" si="3"/>
        <v>119586.79375</v>
      </c>
      <c r="M23" s="3">
        <f t="shared" si="3"/>
        <v>38685.625</v>
      </c>
    </row>
    <row r="24" spans="1:13" x14ac:dyDescent="0.25">
      <c r="A24" s="1" t="s">
        <v>12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14" t="s">
        <v>124</v>
      </c>
      <c r="B25" s="3">
        <f>'Beginning Balance Sheet'!$B$21</f>
        <v>253000</v>
      </c>
      <c r="C25" s="3">
        <f>'Beginning Balance Sheet'!$B$21</f>
        <v>253000</v>
      </c>
      <c r="D25" s="3">
        <f>'Beginning Balance Sheet'!$B$21</f>
        <v>253000</v>
      </c>
      <c r="E25" s="3">
        <f>'Beginning Balance Sheet'!$B$21</f>
        <v>253000</v>
      </c>
      <c r="F25" s="3">
        <f>'Beginning Balance Sheet'!$B$21</f>
        <v>253000</v>
      </c>
      <c r="G25" s="3">
        <f>'Beginning Balance Sheet'!$B$21</f>
        <v>253000</v>
      </c>
      <c r="H25" s="3">
        <f>'Beginning Balance Sheet'!$B$21</f>
        <v>253000</v>
      </c>
      <c r="I25" s="3">
        <f>'Beginning Balance Sheet'!$B$21</f>
        <v>253000</v>
      </c>
      <c r="J25" s="3">
        <f>'Beginning Balance Sheet'!$B$21</f>
        <v>253000</v>
      </c>
      <c r="K25" s="3">
        <f>'Beginning Balance Sheet'!$B$21</f>
        <v>253000</v>
      </c>
      <c r="L25" s="3">
        <f>'Beginning Balance Sheet'!$B$21</f>
        <v>253000</v>
      </c>
      <c r="M25" s="3">
        <f>'Beginning Balance Sheet'!$B$21</f>
        <v>253000</v>
      </c>
    </row>
    <row r="26" spans="1:13" ht="16.8" x14ac:dyDescent="0.4">
      <c r="A26" s="14" t="s">
        <v>27</v>
      </c>
      <c r="B26" s="8">
        <f>'Beginning Balance Sheet'!B22+'F-Budgeted Income Statements'!B13</f>
        <v>448200</v>
      </c>
      <c r="C26" s="8">
        <f>B26+'F-Budgeted Income Statements'!C13</f>
        <v>413700</v>
      </c>
      <c r="D26" s="8">
        <f>C26+'F-Budgeted Income Statements'!D13</f>
        <v>388846.94374999998</v>
      </c>
      <c r="E26" s="8">
        <f>D26+'F-Budgeted Income Statements'!E13</f>
        <v>367064.73124999995</v>
      </c>
      <c r="F26" s="8">
        <f>E26+'F-Budgeted Income Statements'!F13</f>
        <v>351601.00312499993</v>
      </c>
      <c r="G26" s="8">
        <f>F26+'F-Budgeted Income Statements'!G13</f>
        <v>389552.38593749993</v>
      </c>
      <c r="H26" s="8">
        <f>G26+'F-Budgeted Income Statements'!H13</f>
        <v>442941.26874999993</v>
      </c>
      <c r="I26" s="8">
        <f>H26+'F-Budgeted Income Statements'!I13</f>
        <v>501205.15156249993</v>
      </c>
      <c r="J26" s="8">
        <f>I26+'F-Budgeted Income Statements'!J13</f>
        <v>522581.53437499993</v>
      </c>
      <c r="K26" s="8">
        <f>J26+'F-Budgeted Income Statements'!K13</f>
        <v>527057.91718749993</v>
      </c>
      <c r="L26" s="8">
        <f>K26+'F-Budgeted Income Statements'!L13</f>
        <v>511384.29999999993</v>
      </c>
      <c r="M26" s="8">
        <f>L26+'F-Budgeted Income Statements'!M13</f>
        <v>485960.68281249993</v>
      </c>
    </row>
    <row r="27" spans="1:13" ht="16.8" x14ac:dyDescent="0.4">
      <c r="A27" s="15" t="s">
        <v>28</v>
      </c>
      <c r="B27" s="8">
        <f>SUM(B25:B26)</f>
        <v>701200</v>
      </c>
      <c r="C27" s="8">
        <f t="shared" ref="C27:M27" si="4">SUM(C25:C26)</f>
        <v>666700</v>
      </c>
      <c r="D27" s="8">
        <f t="shared" si="4"/>
        <v>641846.94374999998</v>
      </c>
      <c r="E27" s="8">
        <f t="shared" si="4"/>
        <v>620064.73124999995</v>
      </c>
      <c r="F27" s="8">
        <f t="shared" si="4"/>
        <v>604601.00312499993</v>
      </c>
      <c r="G27" s="8">
        <f t="shared" si="4"/>
        <v>642552.38593749993</v>
      </c>
      <c r="H27" s="8">
        <f t="shared" si="4"/>
        <v>695941.26874999993</v>
      </c>
      <c r="I27" s="8">
        <f t="shared" si="4"/>
        <v>754205.15156249993</v>
      </c>
      <c r="J27" s="8">
        <f t="shared" si="4"/>
        <v>775581.53437499993</v>
      </c>
      <c r="K27" s="8">
        <f t="shared" si="4"/>
        <v>780057.91718749993</v>
      </c>
      <c r="L27" s="8">
        <f t="shared" si="4"/>
        <v>764384.29999999993</v>
      </c>
      <c r="M27" s="8">
        <f t="shared" si="4"/>
        <v>738960.68281249993</v>
      </c>
    </row>
    <row r="28" spans="1:13" ht="16.8" x14ac:dyDescent="0.25">
      <c r="A28" s="1" t="s">
        <v>13</v>
      </c>
      <c r="B28" s="40">
        <f>B23+B27</f>
        <v>729951.25</v>
      </c>
      <c r="C28" s="40">
        <f t="shared" ref="C28:M28" si="5">C23+C27</f>
        <v>695100.625</v>
      </c>
      <c r="D28" s="40">
        <f t="shared" si="5"/>
        <v>691175</v>
      </c>
      <c r="E28" s="40">
        <f t="shared" si="5"/>
        <v>692850</v>
      </c>
      <c r="F28" s="40">
        <f t="shared" si="5"/>
        <v>719668.74999999988</v>
      </c>
      <c r="G28" s="40">
        <f t="shared" si="5"/>
        <v>836346.875</v>
      </c>
      <c r="H28" s="40">
        <f t="shared" si="5"/>
        <v>906976.40625</v>
      </c>
      <c r="I28" s="40">
        <f t="shared" si="5"/>
        <v>958708.5625</v>
      </c>
      <c r="J28" s="40">
        <f t="shared" si="5"/>
        <v>939472.46875</v>
      </c>
      <c r="K28" s="40">
        <f t="shared" si="5"/>
        <v>921691.59375</v>
      </c>
      <c r="L28" s="40">
        <f t="shared" si="5"/>
        <v>883971.09374999988</v>
      </c>
      <c r="M28" s="40">
        <f t="shared" si="5"/>
        <v>777646.30781249993</v>
      </c>
    </row>
    <row r="31" spans="1:13" x14ac:dyDescent="0.25"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</row>
  </sheetData>
  <mergeCells count="3">
    <mergeCell ref="A1:M1"/>
    <mergeCell ref="A2:M2"/>
    <mergeCell ref="A3:M3"/>
  </mergeCells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7" tint="0.39997558519241921"/>
  </sheetPr>
  <dimension ref="A1:M28"/>
  <sheetViews>
    <sheetView workbookViewId="0">
      <selection activeCell="B27" sqref="B27:M27"/>
    </sheetView>
  </sheetViews>
  <sheetFormatPr defaultRowHeight="13.2" x14ac:dyDescent="0.25"/>
  <cols>
    <col min="1" max="1" width="41.44140625" bestFit="1" customWidth="1"/>
    <col min="2" max="13" width="15" customWidth="1"/>
  </cols>
  <sheetData>
    <row r="1" spans="1:13" ht="15.6" x14ac:dyDescent="0.3">
      <c r="A1" s="80" t="s">
        <v>77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3" ht="15.6" x14ac:dyDescent="0.3">
      <c r="A2" s="80" t="s">
        <v>138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</row>
    <row r="3" spans="1:13" ht="15.6" x14ac:dyDescent="0.3">
      <c r="A3" s="84" t="s">
        <v>121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</row>
    <row r="4" spans="1:13" ht="15.6" x14ac:dyDescent="0.3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</row>
    <row r="5" spans="1:13" ht="15.6" x14ac:dyDescent="0.3">
      <c r="A5" s="22"/>
      <c r="B5" s="2" t="s">
        <v>80</v>
      </c>
      <c r="C5" s="2" t="s">
        <v>81</v>
      </c>
      <c r="D5" s="2" t="s">
        <v>82</v>
      </c>
      <c r="E5" s="2" t="s">
        <v>83</v>
      </c>
      <c r="F5" s="2" t="s">
        <v>99</v>
      </c>
      <c r="G5" s="2" t="s">
        <v>85</v>
      </c>
      <c r="H5" s="2" t="s">
        <v>86</v>
      </c>
      <c r="I5" s="2" t="s">
        <v>87</v>
      </c>
      <c r="J5" s="2" t="s">
        <v>88</v>
      </c>
      <c r="K5" s="2" t="s">
        <v>89</v>
      </c>
      <c r="L5" s="2" t="s">
        <v>90</v>
      </c>
      <c r="M5" s="2" t="s">
        <v>91</v>
      </c>
    </row>
    <row r="6" spans="1:13" ht="15.6" x14ac:dyDescent="0.3">
      <c r="A6" s="23" t="s">
        <v>6</v>
      </c>
      <c r="B6" s="23"/>
      <c r="C6" s="23"/>
      <c r="D6" s="23"/>
      <c r="E6" s="1"/>
      <c r="F6" s="1"/>
      <c r="G6" s="1"/>
      <c r="H6" s="1"/>
      <c r="I6" s="1"/>
      <c r="J6" s="1"/>
      <c r="K6" s="1"/>
      <c r="L6" s="1"/>
      <c r="M6" s="1"/>
    </row>
    <row r="7" spans="1:13" ht="15" x14ac:dyDescent="0.25">
      <c r="A7" s="1" t="s">
        <v>7</v>
      </c>
      <c r="B7" s="5"/>
      <c r="C7" s="1"/>
      <c r="D7" s="10"/>
      <c r="E7" s="1"/>
      <c r="F7" s="1"/>
      <c r="G7" s="1"/>
      <c r="H7" s="1"/>
      <c r="I7" s="1"/>
      <c r="J7" s="1"/>
      <c r="K7" s="1"/>
      <c r="L7" s="1"/>
      <c r="M7" s="1"/>
    </row>
    <row r="8" spans="1:13" ht="15" x14ac:dyDescent="0.25">
      <c r="A8" s="14" t="s">
        <v>21</v>
      </c>
      <c r="B8" s="5">
        <f>'[1]F-Cash Budget'!B20</f>
        <v>62082.595200000011</v>
      </c>
      <c r="C8" s="5">
        <f>'[1]F-Cash Budget'!C20</f>
        <v>40783.219580000004</v>
      </c>
      <c r="D8" s="5">
        <f>'[1]F-Cash Budget'!D20</f>
        <v>30000</v>
      </c>
      <c r="E8" s="5">
        <f>'[1]F-Cash Budget'!E20</f>
        <v>30000</v>
      </c>
      <c r="F8" s="5">
        <f>'[1]F-Cash Budget'!F20</f>
        <v>30000</v>
      </c>
      <c r="G8" s="5">
        <f>'[1]F-Cash Budget'!G20</f>
        <v>30000</v>
      </c>
      <c r="H8" s="5">
        <f>'[1]F-Cash Budget'!H20</f>
        <v>56648.480625000026</v>
      </c>
      <c r="I8" s="5">
        <f>'[1]F-Cash Budget'!I20</f>
        <v>115093.62397499999</v>
      </c>
      <c r="J8" s="5">
        <f>'[1]F-Cash Budget'!J20</f>
        <v>193729.17522499998</v>
      </c>
      <c r="K8" s="5">
        <f>'[1]F-Cash Budget'!K20</f>
        <v>230303.43887499999</v>
      </c>
      <c r="L8" s="5">
        <f>'[1]F-Cash Budget'!L20</f>
        <v>249331.83543749998</v>
      </c>
      <c r="M8" s="5">
        <f>'[1]F-Cash Budget'!M20</f>
        <v>114245.62886949998</v>
      </c>
    </row>
    <row r="9" spans="1:13" ht="15" x14ac:dyDescent="0.25">
      <c r="A9" s="14" t="s">
        <v>22</v>
      </c>
      <c r="B9" s="3">
        <f>'[1]F-Sales Budget'!B8*'[1]Actual inputs'!B10</f>
        <v>55104.000000000007</v>
      </c>
      <c r="C9" s="3">
        <f>'[1]F-Sales Budget'!C8*'[1]Actual inputs'!C10</f>
        <v>40836</v>
      </c>
      <c r="D9" s="3">
        <f>'[1]F-Sales Budget'!D8*'[1]Actual inputs'!D10</f>
        <v>63495</v>
      </c>
      <c r="E9" s="3">
        <f>'[1]F-Sales Budget'!E8*'[1]Actual inputs'!E10</f>
        <v>73040</v>
      </c>
      <c r="F9" s="3">
        <f>'[1]F-Sales Budget'!F8*'[1]Actual inputs'!F10</f>
        <v>89178</v>
      </c>
      <c r="G9" s="3">
        <f>'[1]F-Sales Budget'!G8*'[1]Actual inputs'!G10</f>
        <v>214177.5</v>
      </c>
      <c r="H9" s="3">
        <f>'[1]F-Sales Budget'!H8*'[1]Actual inputs'!H10</f>
        <v>251370</v>
      </c>
      <c r="I9" s="3">
        <f>'[1]F-Sales Budget'!I8*'[1]Actual inputs'!I10</f>
        <v>262710</v>
      </c>
      <c r="J9" s="3">
        <f>'[1]F-Sales Budget'!J8*'[1]Actual inputs'!J10</f>
        <v>176904</v>
      </c>
      <c r="K9" s="3">
        <f>'[1]F-Sales Budget'!K8*'[1]Actual inputs'!K10</f>
        <v>135954</v>
      </c>
      <c r="L9" s="3">
        <f>'[1]F-Sales Budget'!L8*'[1]Actual inputs'!L10</f>
        <v>87576</v>
      </c>
      <c r="M9" s="3">
        <f>'[1]F-Sales Budget'!M8*'[1]Actual inputs'!M10</f>
        <v>63112.5</v>
      </c>
    </row>
    <row r="10" spans="1:13" ht="16.8" x14ac:dyDescent="0.4">
      <c r="A10" s="14" t="s">
        <v>122</v>
      </c>
      <c r="B10" s="8">
        <f>'[1]F-Merchandise Purchases Budget'!B7</f>
        <v>6964.0320000000002</v>
      </c>
      <c r="C10" s="8">
        <f>'[1]F-Merchandise Purchases Budget'!C7</f>
        <v>10433.835000000001</v>
      </c>
      <c r="D10" s="8">
        <f>'[1]F-Merchandise Purchases Budget'!D7</f>
        <v>12038.399999999998</v>
      </c>
      <c r="E10" s="8">
        <f>'[1]F-Merchandise Purchases Budget'!E7</f>
        <v>14952.000000000002</v>
      </c>
      <c r="F10" s="8">
        <f>'[1]F-Merchandise Purchases Budget'!F7</f>
        <v>36679.5</v>
      </c>
      <c r="G10" s="8">
        <f>'[1]F-Merchandise Purchases Budget'!G7</f>
        <v>43615.6875</v>
      </c>
      <c r="H10" s="8">
        <f>'[1]F-Merchandise Purchases Budget'!H7</f>
        <v>46443.375</v>
      </c>
      <c r="I10" s="8">
        <f>'[1]F-Merchandise Purchases Budget'!I7</f>
        <v>30926.610000000004</v>
      </c>
      <c r="J10" s="8">
        <f>'[1]F-Merchandise Purchases Budget'!J7</f>
        <v>23423.4</v>
      </c>
      <c r="K10" s="8">
        <f>'[1]F-Merchandise Purchases Budget'!K7</f>
        <v>14818.500000000002</v>
      </c>
      <c r="L10" s="8">
        <f>'[1]F-Merchandise Purchases Budget'!L7</f>
        <v>11205.031499999999</v>
      </c>
      <c r="M10" s="8">
        <f>'[1]F-Merchandise Purchases Budget'!M7</f>
        <v>12100</v>
      </c>
    </row>
    <row r="11" spans="1:13" ht="15" x14ac:dyDescent="0.25">
      <c r="A11" s="15" t="s">
        <v>23</v>
      </c>
      <c r="B11" s="3">
        <f>SUM(B8:B10)</f>
        <v>124150.62720000002</v>
      </c>
      <c r="C11" s="3">
        <f t="shared" ref="C11:M11" si="0">SUM(C8:C10)</f>
        <v>92053.054580000011</v>
      </c>
      <c r="D11" s="3">
        <f t="shared" si="0"/>
        <v>105533.4</v>
      </c>
      <c r="E11" s="3">
        <f t="shared" si="0"/>
        <v>117992</v>
      </c>
      <c r="F11" s="3">
        <f t="shared" si="0"/>
        <v>155857.5</v>
      </c>
      <c r="G11" s="3">
        <f t="shared" si="0"/>
        <v>287793.1875</v>
      </c>
      <c r="H11" s="3">
        <f t="shared" si="0"/>
        <v>354461.85562500003</v>
      </c>
      <c r="I11" s="3">
        <f t="shared" si="0"/>
        <v>408730.23397499998</v>
      </c>
      <c r="J11" s="3">
        <f t="shared" si="0"/>
        <v>394056.57522500004</v>
      </c>
      <c r="K11" s="3">
        <f t="shared" si="0"/>
        <v>381075.93887499999</v>
      </c>
      <c r="L11" s="3">
        <f t="shared" si="0"/>
        <v>348112.86693749996</v>
      </c>
      <c r="M11" s="3">
        <f t="shared" si="0"/>
        <v>189458.12886949998</v>
      </c>
    </row>
    <row r="12" spans="1:13" ht="15" x14ac:dyDescent="0.25">
      <c r="A12" s="1" t="s">
        <v>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15" x14ac:dyDescent="0.25">
      <c r="A13" s="14" t="s">
        <v>24</v>
      </c>
      <c r="B13" s="3">
        <f>'[1]Beginning Balance Sheet'!$B$12</f>
        <v>900000</v>
      </c>
      <c r="C13" s="3">
        <f>'[1]Beginning Balance Sheet'!$B$12</f>
        <v>900000</v>
      </c>
      <c r="D13" s="3">
        <f>'[1]Beginning Balance Sheet'!$B$12</f>
        <v>900000</v>
      </c>
      <c r="E13" s="3">
        <f>'[1]Beginning Balance Sheet'!$B$12</f>
        <v>900000</v>
      </c>
      <c r="F13" s="3">
        <f>'[1]Beginning Balance Sheet'!$B$12</f>
        <v>900000</v>
      </c>
      <c r="G13" s="3">
        <f>'[1]Beginning Balance Sheet'!$B$12</f>
        <v>900000</v>
      </c>
      <c r="H13" s="3">
        <f>'[1]Beginning Balance Sheet'!$B$12</f>
        <v>900000</v>
      </c>
      <c r="I13" s="3">
        <f>'[1]Beginning Balance Sheet'!$B$12</f>
        <v>900000</v>
      </c>
      <c r="J13" s="3">
        <f>'[1]Beginning Balance Sheet'!$B$12</f>
        <v>900000</v>
      </c>
      <c r="K13" s="3">
        <f>'[1]Beginning Balance Sheet'!$B$12</f>
        <v>900000</v>
      </c>
      <c r="L13" s="3">
        <f>'[1]Beginning Balance Sheet'!$B$12</f>
        <v>900000</v>
      </c>
      <c r="M13" s="3">
        <f>'[1]Beginning Balance Sheet'!$B$12</f>
        <v>900000</v>
      </c>
    </row>
    <row r="14" spans="1:13" ht="16.8" x14ac:dyDescent="0.4">
      <c r="A14" s="14" t="s">
        <v>25</v>
      </c>
      <c r="B14" s="8">
        <f>'[1]Beginning Balance Sheet'!B13-'[1]Actual inputs'!B25</f>
        <v>-300000</v>
      </c>
      <c r="C14" s="8">
        <f>B14-'[1]Actual inputs'!C25</f>
        <v>-308000</v>
      </c>
      <c r="D14" s="8">
        <f>C14-'[1]Actual inputs'!D25</f>
        <v>-316000</v>
      </c>
      <c r="E14" s="8">
        <f>D14-'[1]Actual inputs'!E25</f>
        <v>-324000</v>
      </c>
      <c r="F14" s="8">
        <f>E14-'[1]Actual inputs'!F25</f>
        <v>-332000</v>
      </c>
      <c r="G14" s="8">
        <f>F14-'[1]Actual inputs'!G25</f>
        <v>-340000</v>
      </c>
      <c r="H14" s="8">
        <f>G14-'[1]Actual inputs'!H25</f>
        <v>-348000</v>
      </c>
      <c r="I14" s="8">
        <f>H14-'[1]Actual inputs'!I25</f>
        <v>-356000</v>
      </c>
      <c r="J14" s="8">
        <f>I14-'[1]Actual inputs'!J25</f>
        <v>-364000</v>
      </c>
      <c r="K14" s="8">
        <f>J14-'[1]Actual inputs'!K25</f>
        <v>-372000</v>
      </c>
      <c r="L14" s="8">
        <f>K14-'[1]Actual inputs'!L25</f>
        <v>-380000</v>
      </c>
      <c r="M14" s="8">
        <f>L14-'[1]Actual inputs'!M25</f>
        <v>-388000</v>
      </c>
    </row>
    <row r="15" spans="1:13" ht="16.8" x14ac:dyDescent="0.4">
      <c r="A15" s="15" t="s">
        <v>26</v>
      </c>
      <c r="B15" s="8">
        <f>SUM(B13:B14)</f>
        <v>600000</v>
      </c>
      <c r="C15" s="8">
        <f t="shared" ref="C15:M15" si="1">SUM(C13:C14)</f>
        <v>592000</v>
      </c>
      <c r="D15" s="8">
        <f t="shared" si="1"/>
        <v>584000</v>
      </c>
      <c r="E15" s="8">
        <f t="shared" si="1"/>
        <v>576000</v>
      </c>
      <c r="F15" s="8">
        <f t="shared" si="1"/>
        <v>568000</v>
      </c>
      <c r="G15" s="8">
        <f t="shared" si="1"/>
        <v>560000</v>
      </c>
      <c r="H15" s="8">
        <f t="shared" si="1"/>
        <v>552000</v>
      </c>
      <c r="I15" s="8">
        <f t="shared" si="1"/>
        <v>544000</v>
      </c>
      <c r="J15" s="8">
        <f t="shared" si="1"/>
        <v>536000</v>
      </c>
      <c r="K15" s="8">
        <f t="shared" si="1"/>
        <v>528000</v>
      </c>
      <c r="L15" s="8">
        <f t="shared" si="1"/>
        <v>520000</v>
      </c>
      <c r="M15" s="8">
        <f t="shared" si="1"/>
        <v>512000</v>
      </c>
    </row>
    <row r="16" spans="1:13" ht="16.8" x14ac:dyDescent="0.25">
      <c r="A16" s="15" t="s">
        <v>9</v>
      </c>
      <c r="B16" s="40">
        <f>B11+B15</f>
        <v>724150.62719999999</v>
      </c>
      <c r="C16" s="40">
        <f t="shared" ref="C16:M16" si="2">C11+C15</f>
        <v>684053.05458</v>
      </c>
      <c r="D16" s="40">
        <f t="shared" si="2"/>
        <v>689533.4</v>
      </c>
      <c r="E16" s="40">
        <f t="shared" si="2"/>
        <v>693992</v>
      </c>
      <c r="F16" s="40">
        <f t="shared" si="2"/>
        <v>723857.5</v>
      </c>
      <c r="G16" s="40">
        <f t="shared" si="2"/>
        <v>847793.1875</v>
      </c>
      <c r="H16" s="40">
        <f t="shared" si="2"/>
        <v>906461.85562500008</v>
      </c>
      <c r="I16" s="40">
        <f t="shared" si="2"/>
        <v>952730.23397499998</v>
      </c>
      <c r="J16" s="40">
        <f t="shared" si="2"/>
        <v>930056.57522500004</v>
      </c>
      <c r="K16" s="40">
        <f t="shared" si="2"/>
        <v>909075.93887499999</v>
      </c>
      <c r="L16" s="40">
        <f t="shared" si="2"/>
        <v>868112.86693749996</v>
      </c>
      <c r="M16" s="40">
        <f t="shared" si="2"/>
        <v>701458.12886950001</v>
      </c>
    </row>
    <row r="17" spans="1:13" ht="15" x14ac:dyDescent="0.25">
      <c r="A17" s="1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6" x14ac:dyDescent="0.3">
      <c r="A18" s="23" t="s">
        <v>10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</row>
    <row r="19" spans="1:13" ht="15" x14ac:dyDescent="0.25">
      <c r="A19" s="1" t="s">
        <v>11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ht="15" x14ac:dyDescent="0.25">
      <c r="A20" s="14" t="s">
        <v>123</v>
      </c>
      <c r="B20" s="5">
        <f>'[1]F-Merchandise Purchases Budget'!B10*'[1]Actual inputs'!B16</f>
        <v>29542.627199999999</v>
      </c>
      <c r="C20" s="5">
        <f>'[1]F-Merchandise Purchases Budget'!C10*'[1]Actual inputs'!C16</f>
        <v>29023.454580000001</v>
      </c>
      <c r="D20" s="5">
        <f>'[1]F-Merchandise Purchases Budget'!D10*'[1]Actual inputs'!D16</f>
        <v>40158.550574999994</v>
      </c>
      <c r="E20" s="5">
        <f>'[1]F-Merchandise Purchases Budget'!E10*'[1]Actual inputs'!E16</f>
        <v>44581.823999999993</v>
      </c>
      <c r="F20" s="5">
        <f>'[1]F-Merchandise Purchases Budget'!F10*'[1]Actual inputs'!F16</f>
        <v>68897.497499999998</v>
      </c>
      <c r="G20" s="5">
        <f>'[1]F-Merchandise Purchases Budget'!G10*'[1]Actual inputs'!G16</f>
        <v>122849.28562499999</v>
      </c>
      <c r="H20" s="5">
        <f>'[1]F-Merchandise Purchases Budget'!H10*'[1]Actual inputs'!H16</f>
        <v>137280.45375000002</v>
      </c>
      <c r="I20" s="5">
        <f>'[1]F-Merchandise Purchases Budget'!I10*'[1]Actual inputs'!I16</f>
        <v>134586.3321</v>
      </c>
      <c r="J20" s="5">
        <f>'[1]F-Merchandise Purchases Budget'!J10*'[1]Actual inputs'!J16</f>
        <v>93702.673350000012</v>
      </c>
      <c r="K20" s="5">
        <f>'[1]F-Merchandise Purchases Budget'!K10*'[1]Actual inputs'!K16</f>
        <v>70892.037000000011</v>
      </c>
      <c r="L20" s="5">
        <f>'[1]F-Merchandise Purchases Budget'!L10*'[1]Actual inputs'!L16</f>
        <v>48702.965062500007</v>
      </c>
      <c r="M20" s="5">
        <f>'[1]F-Merchandise Purchases Budget'!M10*'[1]Actual inputs'!M16</f>
        <v>40708.332280000002</v>
      </c>
    </row>
    <row r="21" spans="1:13" ht="15" x14ac:dyDescent="0.25">
      <c r="A21" s="14" t="s">
        <v>126</v>
      </c>
      <c r="B21" s="3">
        <f>'[1]F-Cash Budget'!$B$16</f>
        <v>0</v>
      </c>
      <c r="C21" s="3">
        <f>'[1]F-Cash Budget'!$B$16+'[1]F-Cash Budget'!$C$16</f>
        <v>0</v>
      </c>
      <c r="D21" s="3">
        <f>'[1]F-Cash Budget'!$B$16+'[1]F-Cash Budget'!$C$16+'[1]F-Cash Budget'!$D$16</f>
        <v>24859.749424999987</v>
      </c>
      <c r="E21" s="3">
        <f>'[1]F-Cash Budget'!$B$16+'[1]F-Cash Budget'!$C$16+'[1]F-Cash Budget'!$D$16+'[1]F-Cash Budget'!$E$16</f>
        <v>49555.075999999972</v>
      </c>
      <c r="F21" s="3">
        <f>'[1]F-Cash Budget'!$B$16+'[1]F-Cash Budget'!$C$16+'[1]F-Cash Budget'!$D$16+'[1]F-Cash Budget'!$E$16+'[1]F-Cash Budget'!$F$16</f>
        <v>77312.902499999967</v>
      </c>
      <c r="G21" s="3">
        <f>'[1]F-Cash Budget'!$B$16+'[1]F-Cash Budget'!$C$16+'[1]F-Cash Budget'!$D$16+'[1]F-Cash Budget'!$E$16+'[1]F-Cash Budget'!$F$16+'[1]F-Cash Budget'!$G$16</f>
        <v>116521.80187499998</v>
      </c>
      <c r="H21" s="3">
        <f>'[1]F-Cash Budget'!$B$16+'[1]F-Cash Budget'!$C$16+'[1]F-Cash Budget'!$D$16+'[1]F-Cash Budget'!$E$16+'[1]F-Cash Budget'!$F$16+'[1]F-Cash Budget'!$G$16+'[1]F-Cash Budget'!$H$16</f>
        <v>116521.80187499998</v>
      </c>
      <c r="I21" s="3">
        <f>'[1]F-Cash Budget'!$B$16+'[1]F-Cash Budget'!$C$16+'[1]F-Cash Budget'!$D$16+'[1]F-Cash Budget'!$E$16+'[1]F-Cash Budget'!$F$16+'[1]F-Cash Budget'!$G$16+'[1]F-Cash Budget'!$H$16+'[1]F-Cash Budget'!$I$16</f>
        <v>116521.80187499998</v>
      </c>
      <c r="J21" s="3">
        <f>'[1]F-Cash Budget'!$B$16+'[1]F-Cash Budget'!$C$16+'[1]F-Cash Budget'!$D$16+'[1]F-Cash Budget'!$E$16+'[1]F-Cash Budget'!$F$16+'[1]F-Cash Budget'!$G$16+'[1]F-Cash Budget'!$H$16+'[1]F-Cash Budget'!$I$16+'[1]F-Cash Budget'!$J$16</f>
        <v>116521.80187499998</v>
      </c>
      <c r="K21" s="3">
        <f>'[1]F-Cash Budget'!$B$16+'[1]F-Cash Budget'!$C$16+'[1]F-Cash Budget'!$D$16+'[1]F-Cash Budget'!$E$16+'[1]F-Cash Budget'!$F$16+'[1]F-Cash Budget'!$G$16+'[1]F-Cash Budget'!$H$16+'[1]F-Cash Budget'!$I$16+'[1]F-Cash Budget'!$J$16+'[1]F-Cash Budget'!$K$16</f>
        <v>116521.80187499998</v>
      </c>
      <c r="L21" s="3">
        <f>'[1]F-Cash Budget'!$B$16+'[1]F-Cash Budget'!$C$16+'[1]F-Cash Budget'!$D$16+'[1]F-Cash Budget'!$E$16+'[1]F-Cash Budget'!$F$16+'[1]F-Cash Budget'!$G$16+'[1]F-Cash Budget'!$H$16+'[1]F-Cash Budget'!$I$16+'[1]F-Cash Budget'!$J$16+'[1]F-Cash Budget'!$K$16+'[1]F-Cash Budget'!$L$16</f>
        <v>116521.80187499998</v>
      </c>
      <c r="M21" s="3">
        <f>'[1]F-Cash Budget'!$B$16+'[1]F-Cash Budget'!$C$16+'[1]F-Cash Budget'!$D$16+'[1]F-Cash Budget'!$E$16+'[1]F-Cash Budget'!$F$16+'[1]F-Cash Budget'!$G$16+'[1]F-Cash Budget'!$H$16+'[1]F-Cash Budget'!$I$16+'[1]F-Cash Budget'!$J$16+'[1]F-Cash Budget'!$K$16+'[1]F-Cash Budget'!$L$16+'[1]F-Cash Budget'!M17</f>
        <v>0</v>
      </c>
    </row>
    <row r="22" spans="1:13" ht="16.8" x14ac:dyDescent="0.4">
      <c r="A22" s="14" t="s">
        <v>127</v>
      </c>
      <c r="B22" s="8">
        <f>'[1]F-Budgeted Income Statements'!$B$12</f>
        <v>0</v>
      </c>
      <c r="C22" s="8">
        <f>'[1]F-Budgeted Income Statements'!$B$12+'[1]F-Budgeted Income Statements'!$C$12</f>
        <v>0</v>
      </c>
      <c r="D22" s="8">
        <f>'[1]F-Budgeted Income Statements'!$B$12+'[1]F-Budgeted Income Statements'!$C$12+'[1]F-Budgeted Income Statements'!$D$12</f>
        <v>248.59749424999987</v>
      </c>
      <c r="E22" s="8">
        <f>'[1]F-Budgeted Income Statements'!$B$12+'[1]F-Budgeted Income Statements'!$C$12+'[1]F-Budgeted Income Statements'!$D$12+'[1]F-Budgeted Income Statements'!$E$12</f>
        <v>744.14825424999958</v>
      </c>
      <c r="F22" s="8">
        <f>'[1]F-Budgeted Income Statements'!$B$12+'[1]F-Budgeted Income Statements'!$C$12+'[1]F-Budgeted Income Statements'!$D$12+'[1]F-Budgeted Income Statements'!$E$12+'[1]F-Budgeted Income Statements'!$F$12</f>
        <v>1517.2772792499993</v>
      </c>
      <c r="G22" s="8">
        <f>'[1]F-Budgeted Income Statements'!$B$12+'[1]F-Budgeted Income Statements'!$C$12+'[1]F-Budgeted Income Statements'!$D$12+'[1]F-Budgeted Income Statements'!$E$12+'[1]F-Budgeted Income Statements'!$F$12+'[1]F-Budgeted Income Statements'!$G$12</f>
        <v>2682.4952979999989</v>
      </c>
      <c r="H22" s="8">
        <f>'[1]F-Budgeted Income Statements'!$B$12+'[1]F-Budgeted Income Statements'!$C$12+'[1]F-Budgeted Income Statements'!$D$12+'[1]F-Budgeted Income Statements'!$E$12+'[1]F-Budgeted Income Statements'!$F$12+'[1]F-Budgeted Income Statements'!$G$12+'[1]F-Budgeted Income Statements'!$H$12</f>
        <v>3847.7133167499987</v>
      </c>
      <c r="I22" s="8">
        <f>'[1]F-Budgeted Income Statements'!$B$12+'[1]F-Budgeted Income Statements'!$C$12+'[1]F-Budgeted Income Statements'!$D$12+'[1]F-Budgeted Income Statements'!$E$12+'[1]F-Budgeted Income Statements'!$F$12+'[1]F-Budgeted Income Statements'!$G$12+'[1]F-Budgeted Income Statements'!$H$12+'[1]F-Budgeted Income Statements'!$I$12</f>
        <v>5012.9313354999986</v>
      </c>
      <c r="J22" s="8">
        <f>'[1]F-Budgeted Income Statements'!$B$12+'[1]F-Budgeted Income Statements'!$C$12+'[1]F-Budgeted Income Statements'!$D$12+'[1]F-Budgeted Income Statements'!$E$12+'[1]F-Budgeted Income Statements'!$F$12+'[1]F-Budgeted Income Statements'!$G$12+'[1]F-Budgeted Income Statements'!$H$12+'[1]F-Budgeted Income Statements'!$I$12+'[1]F-Budgeted Income Statements'!$J$12</f>
        <v>6178.1493542499984</v>
      </c>
      <c r="K22" s="8">
        <f>'[1]F-Budgeted Income Statements'!$B$12+'[1]F-Budgeted Income Statements'!$C$12+'[1]F-Budgeted Income Statements'!$D$12+'[1]F-Budgeted Income Statements'!$E$12+'[1]F-Budgeted Income Statements'!$F$12+'[1]F-Budgeted Income Statements'!$G$12+'[1]F-Budgeted Income Statements'!$H$12+'[1]F-Budgeted Income Statements'!$I$12+'[1]F-Budgeted Income Statements'!$J$12+'[1]F-Budgeted Income Statements'!$K$12</f>
        <v>7343.3673729999982</v>
      </c>
      <c r="L22" s="8">
        <f>'[1]F-Budgeted Income Statements'!$B$12+'[1]F-Budgeted Income Statements'!$C$12+'[1]F-Budgeted Income Statements'!$D$12+'[1]F-Budgeted Income Statements'!$E$12+'[1]F-Budgeted Income Statements'!$F$12+'[1]F-Budgeted Income Statements'!$G$12+'[1]F-Budgeted Income Statements'!$H$12+'[1]F-Budgeted Income Statements'!$I$12+'[1]F-Budgeted Income Statements'!$J$12+'[1]F-Budgeted Income Statements'!$K$12+'[1]F-Budgeted Income Statements'!$L$12</f>
        <v>8508.585391749999</v>
      </c>
      <c r="M22" s="8">
        <f>'[1]F-Budgeted Income Statements'!$B$12+'[1]F-Budgeted Income Statements'!$C$12+'[1]F-Budgeted Income Statements'!$D$12+'[1]F-Budgeted Income Statements'!$E$12+'[1]F-Budgeted Income Statements'!$F$12+'[1]F-Budgeted Income Statements'!$G$12+'[1]F-Budgeted Income Statements'!$H$12+'[1]F-Budgeted Income Statements'!$I$12+'[1]F-Budgeted Income Statements'!$J$12+'[1]F-Budgeted Income Statements'!$K$12+'[1]F-Budgeted Income Statements'!$L$12+'[1]F-Budgeted Income Statements'!$M$12+'[1]F-Cash Budget'!M18</f>
        <v>0</v>
      </c>
    </row>
    <row r="23" spans="1:13" ht="15" x14ac:dyDescent="0.25">
      <c r="A23" s="14" t="s">
        <v>125</v>
      </c>
      <c r="B23" s="3">
        <f>SUM(B20:B22)</f>
        <v>29542.627199999999</v>
      </c>
      <c r="C23" s="3">
        <f t="shared" ref="C23:M23" si="3">SUM(C20:C22)</f>
        <v>29023.454580000001</v>
      </c>
      <c r="D23" s="3">
        <f t="shared" si="3"/>
        <v>65266.897494249984</v>
      </c>
      <c r="E23" s="3">
        <f t="shared" si="3"/>
        <v>94881.048254249967</v>
      </c>
      <c r="F23" s="3">
        <f t="shared" si="3"/>
        <v>147727.67727924997</v>
      </c>
      <c r="G23" s="3">
        <f t="shared" si="3"/>
        <v>242053.58279799996</v>
      </c>
      <c r="H23" s="3">
        <f t="shared" si="3"/>
        <v>257649.96894174998</v>
      </c>
      <c r="I23" s="3">
        <f t="shared" si="3"/>
        <v>256121.06531049998</v>
      </c>
      <c r="J23" s="3">
        <f t="shared" si="3"/>
        <v>216402.62457925</v>
      </c>
      <c r="K23" s="3">
        <f t="shared" si="3"/>
        <v>194757.20624799997</v>
      </c>
      <c r="L23" s="3">
        <f t="shared" si="3"/>
        <v>173733.35232924999</v>
      </c>
      <c r="M23" s="3">
        <f t="shared" si="3"/>
        <v>40708.332280000002</v>
      </c>
    </row>
    <row r="24" spans="1:13" ht="15" x14ac:dyDescent="0.25">
      <c r="A24" s="1" t="s">
        <v>12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 ht="15" x14ac:dyDescent="0.25">
      <c r="A25" s="14" t="s">
        <v>124</v>
      </c>
      <c r="B25" s="3">
        <f>'[1]Beginning Balance Sheet'!$B$21</f>
        <v>253000</v>
      </c>
      <c r="C25" s="3">
        <f>'[1]Beginning Balance Sheet'!$B$21</f>
        <v>253000</v>
      </c>
      <c r="D25" s="3">
        <f>'[1]Beginning Balance Sheet'!$B$21</f>
        <v>253000</v>
      </c>
      <c r="E25" s="3">
        <f>'[1]Beginning Balance Sheet'!$B$21</f>
        <v>253000</v>
      </c>
      <c r="F25" s="3">
        <f>'[1]Beginning Balance Sheet'!$B$21</f>
        <v>253000</v>
      </c>
      <c r="G25" s="3">
        <f>'[1]Beginning Balance Sheet'!$B$21</f>
        <v>253000</v>
      </c>
      <c r="H25" s="3">
        <f>'[1]Beginning Balance Sheet'!$B$21</f>
        <v>253000</v>
      </c>
      <c r="I25" s="3">
        <f>'[1]Beginning Balance Sheet'!$B$21</f>
        <v>253000</v>
      </c>
      <c r="J25" s="3">
        <f>'[1]Beginning Balance Sheet'!$B$21</f>
        <v>253000</v>
      </c>
      <c r="K25" s="3">
        <f>'[1]Beginning Balance Sheet'!$B$21</f>
        <v>253000</v>
      </c>
      <c r="L25" s="3">
        <f>'[1]Beginning Balance Sheet'!$B$21</f>
        <v>253000</v>
      </c>
      <c r="M25" s="3">
        <f>'[1]Beginning Balance Sheet'!$B$21</f>
        <v>253000</v>
      </c>
    </row>
    <row r="26" spans="1:13" ht="16.8" x14ac:dyDescent="0.4">
      <c r="A26" s="14" t="s">
        <v>27</v>
      </c>
      <c r="B26" s="8">
        <f>'[1]Beginning Balance Sheet'!B22+'[1]F-Budgeted Income Statements'!B13</f>
        <v>441608</v>
      </c>
      <c r="C26" s="8">
        <f>B26+'[1]F-Budgeted Income Statements'!C13</f>
        <v>402029.6</v>
      </c>
      <c r="D26" s="8">
        <f>C26+'[1]F-Budgeted Income Statements'!D13</f>
        <v>371266.50250574999</v>
      </c>
      <c r="E26" s="8">
        <f>D26+'[1]F-Budgeted Income Statements'!E13</f>
        <v>346110.95174574998</v>
      </c>
      <c r="F26" s="8">
        <f>E26+'[1]F-Budgeted Income Statements'!F13</f>
        <v>323129.82272074994</v>
      </c>
      <c r="G26" s="8">
        <f>F26+'[1]F-Budgeted Income Statements'!G13</f>
        <v>352739.60470199992</v>
      </c>
      <c r="H26" s="8">
        <f>G26+'[1]F-Budgeted Income Statements'!H13</f>
        <v>395811.8866832499</v>
      </c>
      <c r="I26" s="8">
        <f>H26+'[1]F-Budgeted Income Statements'!I13</f>
        <v>443609.16866449988</v>
      </c>
      <c r="J26" s="8">
        <f>I26+'[1]F-Budgeted Income Statements'!J13</f>
        <v>460653.95064574986</v>
      </c>
      <c r="K26" s="8">
        <f>J26+'[1]F-Budgeted Income Statements'!K13</f>
        <v>461318.73262699984</v>
      </c>
      <c r="L26" s="8">
        <f>K26+'[1]F-Budgeted Income Statements'!L13</f>
        <v>441379.51460824982</v>
      </c>
      <c r="M26" s="8">
        <f>L26+'[1]F-Budgeted Income Statements'!M13</f>
        <v>407749.79658949981</v>
      </c>
    </row>
    <row r="27" spans="1:13" ht="16.8" x14ac:dyDescent="0.4">
      <c r="A27" s="15" t="s">
        <v>28</v>
      </c>
      <c r="B27" s="8">
        <f>SUM(B25:B26)</f>
        <v>694608</v>
      </c>
      <c r="C27" s="8">
        <f t="shared" ref="C27:M27" si="4">SUM(C25:C26)</f>
        <v>655029.6</v>
      </c>
      <c r="D27" s="8">
        <f t="shared" si="4"/>
        <v>624266.50250574993</v>
      </c>
      <c r="E27" s="8">
        <f t="shared" si="4"/>
        <v>599110.95174574992</v>
      </c>
      <c r="F27" s="8">
        <f t="shared" si="4"/>
        <v>576129.82272075</v>
      </c>
      <c r="G27" s="8">
        <f t="shared" si="4"/>
        <v>605739.60470199992</v>
      </c>
      <c r="H27" s="8">
        <f t="shared" si="4"/>
        <v>648811.88668324985</v>
      </c>
      <c r="I27" s="8">
        <f t="shared" si="4"/>
        <v>696609.16866449988</v>
      </c>
      <c r="J27" s="8">
        <f t="shared" si="4"/>
        <v>713653.95064574992</v>
      </c>
      <c r="K27" s="8">
        <f t="shared" si="4"/>
        <v>714318.73262699984</v>
      </c>
      <c r="L27" s="8">
        <f t="shared" si="4"/>
        <v>694379.51460824977</v>
      </c>
      <c r="M27" s="8">
        <f t="shared" si="4"/>
        <v>660749.79658949981</v>
      </c>
    </row>
    <row r="28" spans="1:13" ht="16.8" x14ac:dyDescent="0.25">
      <c r="A28" s="1" t="s">
        <v>13</v>
      </c>
      <c r="B28" s="40">
        <f>B23+B27</f>
        <v>724150.62719999999</v>
      </c>
      <c r="C28" s="40">
        <f t="shared" ref="C28:M28" si="5">C23+C27</f>
        <v>684053.05458</v>
      </c>
      <c r="D28" s="40">
        <f t="shared" si="5"/>
        <v>689533.39999999991</v>
      </c>
      <c r="E28" s="40">
        <f t="shared" si="5"/>
        <v>693991.99999999988</v>
      </c>
      <c r="F28" s="40">
        <f t="shared" si="5"/>
        <v>723857.5</v>
      </c>
      <c r="G28" s="40">
        <f t="shared" si="5"/>
        <v>847793.18749999988</v>
      </c>
      <c r="H28" s="40">
        <f t="shared" si="5"/>
        <v>906461.85562499985</v>
      </c>
      <c r="I28" s="40">
        <f t="shared" si="5"/>
        <v>952730.23397499986</v>
      </c>
      <c r="J28" s="40">
        <f t="shared" si="5"/>
        <v>930056.57522499992</v>
      </c>
      <c r="K28" s="40">
        <f t="shared" si="5"/>
        <v>909075.93887499976</v>
      </c>
      <c r="L28" s="40">
        <f t="shared" si="5"/>
        <v>868112.86693749973</v>
      </c>
      <c r="M28" s="40">
        <f t="shared" si="5"/>
        <v>701458.12886949978</v>
      </c>
    </row>
  </sheetData>
  <mergeCells count="3">
    <mergeCell ref="A1:M1"/>
    <mergeCell ref="A2:M2"/>
    <mergeCell ref="A3:M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</sheetPr>
  <dimension ref="A1:C26"/>
  <sheetViews>
    <sheetView workbookViewId="0">
      <selection activeCell="B8" sqref="B8"/>
    </sheetView>
  </sheetViews>
  <sheetFormatPr defaultRowHeight="13.2" x14ac:dyDescent="0.25"/>
  <cols>
    <col min="1" max="1" width="42.6640625" bestFit="1" customWidth="1"/>
    <col min="2" max="2" width="13" customWidth="1"/>
    <col min="3" max="3" width="12.33203125" customWidth="1"/>
  </cols>
  <sheetData>
    <row r="1" spans="1:3" ht="15.6" x14ac:dyDescent="0.3">
      <c r="A1" s="80" t="s">
        <v>77</v>
      </c>
      <c r="B1" s="80"/>
      <c r="C1" s="80"/>
    </row>
    <row r="2" spans="1:3" ht="15.6" x14ac:dyDescent="0.3">
      <c r="A2" s="80" t="s">
        <v>46</v>
      </c>
      <c r="B2" s="80"/>
      <c r="C2" s="80"/>
    </row>
    <row r="3" spans="1:3" ht="15.6" x14ac:dyDescent="0.3">
      <c r="A3" s="82" t="s">
        <v>78</v>
      </c>
      <c r="B3" s="82"/>
      <c r="C3" s="82"/>
    </row>
    <row r="4" spans="1:3" ht="15" x14ac:dyDescent="0.25">
      <c r="A4" s="81"/>
      <c r="B4" s="81"/>
      <c r="C4" s="81"/>
    </row>
    <row r="5" spans="1:3" ht="15.6" x14ac:dyDescent="0.3">
      <c r="A5" s="80" t="s">
        <v>6</v>
      </c>
      <c r="B5" s="80"/>
      <c r="C5" s="80"/>
    </row>
    <row r="6" spans="1:3" ht="15.6" x14ac:dyDescent="0.3">
      <c r="A6" s="1" t="s">
        <v>7</v>
      </c>
      <c r="B6" s="1"/>
      <c r="C6" s="24"/>
    </row>
    <row r="7" spans="1:3" ht="15" x14ac:dyDescent="0.25">
      <c r="A7" s="1" t="s">
        <v>56</v>
      </c>
      <c r="B7" s="18">
        <v>68000</v>
      </c>
      <c r="C7" s="1"/>
    </row>
    <row r="8" spans="1:3" ht="15" x14ac:dyDescent="0.25">
      <c r="A8" s="1" t="s">
        <v>74</v>
      </c>
      <c r="B8" s="25">
        <v>80000</v>
      </c>
      <c r="C8" s="25"/>
    </row>
    <row r="9" spans="1:3" ht="16.8" x14ac:dyDescent="0.4">
      <c r="A9" s="1" t="s">
        <v>76</v>
      </c>
      <c r="B9" s="31">
        <v>13200</v>
      </c>
      <c r="C9" s="1"/>
    </row>
    <row r="10" spans="1:3" ht="15" x14ac:dyDescent="0.25">
      <c r="A10" s="1" t="s">
        <v>47</v>
      </c>
      <c r="C10" s="18">
        <f>SUM(B7:B9)</f>
        <v>161200</v>
      </c>
    </row>
    <row r="11" spans="1:3" ht="15" x14ac:dyDescent="0.25">
      <c r="A11" s="1" t="s">
        <v>8</v>
      </c>
      <c r="B11" s="18"/>
      <c r="C11" s="1"/>
    </row>
    <row r="12" spans="1:3" ht="15" x14ac:dyDescent="0.25">
      <c r="A12" s="1" t="s">
        <v>57</v>
      </c>
      <c r="B12" s="25">
        <v>900000</v>
      </c>
      <c r="C12" s="1"/>
    </row>
    <row r="13" spans="1:3" ht="16.8" x14ac:dyDescent="0.4">
      <c r="A13" s="1" t="s">
        <v>58</v>
      </c>
      <c r="B13" s="31">
        <v>-292000</v>
      </c>
      <c r="C13" s="1"/>
    </row>
    <row r="14" spans="1:3" ht="16.8" x14ac:dyDescent="0.4">
      <c r="A14" s="1" t="s">
        <v>48</v>
      </c>
      <c r="C14" s="31">
        <f>SUM(B12:B13)</f>
        <v>608000</v>
      </c>
    </row>
    <row r="15" spans="1:3" ht="16.8" x14ac:dyDescent="0.4">
      <c r="A15" s="1" t="s">
        <v>49</v>
      </c>
      <c r="C15" s="26">
        <f>+C10+C14</f>
        <v>769200</v>
      </c>
    </row>
    <row r="16" spans="1:3" ht="15" x14ac:dyDescent="0.25">
      <c r="A16" s="1"/>
      <c r="B16" s="18"/>
      <c r="C16" s="1"/>
    </row>
    <row r="17" spans="1:3" ht="15.6" x14ac:dyDescent="0.3">
      <c r="A17" s="80" t="s">
        <v>55</v>
      </c>
      <c r="B17" s="80"/>
      <c r="C17" s="80"/>
    </row>
    <row r="18" spans="1:3" ht="15" x14ac:dyDescent="0.25">
      <c r="A18" s="1" t="s">
        <v>11</v>
      </c>
      <c r="B18" s="18"/>
      <c r="C18" s="1"/>
    </row>
    <row r="19" spans="1:3" ht="15" x14ac:dyDescent="0.25">
      <c r="A19" s="1" t="s">
        <v>59</v>
      </c>
      <c r="C19" s="18">
        <v>40000</v>
      </c>
    </row>
    <row r="20" spans="1:3" ht="15" x14ac:dyDescent="0.25">
      <c r="A20" s="1" t="s">
        <v>50</v>
      </c>
      <c r="B20" s="18"/>
      <c r="C20" s="1"/>
    </row>
    <row r="21" spans="1:3" ht="15" x14ac:dyDescent="0.25">
      <c r="A21" s="1" t="s">
        <v>60</v>
      </c>
      <c r="B21" s="18">
        <v>253000</v>
      </c>
      <c r="C21" s="1"/>
    </row>
    <row r="22" spans="1:3" ht="16.8" x14ac:dyDescent="0.4">
      <c r="A22" s="1" t="s">
        <v>61</v>
      </c>
      <c r="B22" s="31">
        <v>476200</v>
      </c>
      <c r="C22" s="25"/>
    </row>
    <row r="23" spans="1:3" ht="16.8" x14ac:dyDescent="0.4">
      <c r="A23" s="1" t="s">
        <v>51</v>
      </c>
      <c r="B23" s="30"/>
      <c r="C23" s="31">
        <f>SUM(B21:B22)</f>
        <v>729200</v>
      </c>
    </row>
    <row r="24" spans="1:3" ht="16.8" x14ac:dyDescent="0.4">
      <c r="A24" s="1" t="s">
        <v>52</v>
      </c>
      <c r="C24" s="26">
        <f>+C19+C23</f>
        <v>769200</v>
      </c>
    </row>
    <row r="25" spans="1:3" ht="15" x14ac:dyDescent="0.25">
      <c r="C25" s="1"/>
    </row>
    <row r="26" spans="1:3" ht="15" x14ac:dyDescent="0.25">
      <c r="C26" s="1"/>
    </row>
  </sheetData>
  <mergeCells count="6">
    <mergeCell ref="A5:C5"/>
    <mergeCell ref="A17:C17"/>
    <mergeCell ref="A4:C4"/>
    <mergeCell ref="A1:C1"/>
    <mergeCell ref="A2:C2"/>
    <mergeCell ref="A3:C3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75AC7-8A54-4F3D-9467-BABD5CE44724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47"/>
  <sheetViews>
    <sheetView tabSelected="1" zoomScaleNormal="100" workbookViewId="0">
      <selection activeCell="B11" sqref="B11"/>
    </sheetView>
  </sheetViews>
  <sheetFormatPr defaultRowHeight="13.2" x14ac:dyDescent="0.25"/>
  <cols>
    <col min="1" max="1" width="47.6640625" bestFit="1" customWidth="1"/>
    <col min="2" max="14" width="15" customWidth="1"/>
    <col min="16" max="16" width="9.6640625" bestFit="1" customWidth="1"/>
  </cols>
  <sheetData>
    <row r="1" spans="1:16" ht="17.399999999999999" x14ac:dyDescent="0.3">
      <c r="A1" s="43" t="s">
        <v>150</v>
      </c>
    </row>
    <row r="2" spans="1:16" ht="15.6" x14ac:dyDescent="0.3">
      <c r="B2" s="2" t="s">
        <v>80</v>
      </c>
      <c r="C2" s="2" t="s">
        <v>81</v>
      </c>
      <c r="D2" s="2" t="s">
        <v>82</v>
      </c>
      <c r="E2" s="2" t="s">
        <v>83</v>
      </c>
      <c r="F2" s="2" t="s">
        <v>99</v>
      </c>
      <c r="G2" s="2" t="s">
        <v>85</v>
      </c>
      <c r="H2" s="2" t="s">
        <v>86</v>
      </c>
      <c r="I2" s="2" t="s">
        <v>87</v>
      </c>
      <c r="J2" s="2" t="s">
        <v>88</v>
      </c>
      <c r="K2" s="2" t="s">
        <v>89</v>
      </c>
      <c r="L2" s="2" t="s">
        <v>90</v>
      </c>
      <c r="M2" s="2" t="s">
        <v>91</v>
      </c>
      <c r="N2" s="2" t="s">
        <v>44</v>
      </c>
    </row>
    <row r="3" spans="1:16" x14ac:dyDescent="0.25">
      <c r="A3" s="33" t="s">
        <v>157</v>
      </c>
      <c r="B3" s="66">
        <f>'F-Budgeting Assumptions'!$B$8</f>
        <v>90</v>
      </c>
      <c r="C3" s="66">
        <f>'F-Budgeting Assumptions'!$B$8</f>
        <v>90</v>
      </c>
      <c r="D3" s="66">
        <f>'F-Budgeting Assumptions'!$B$8</f>
        <v>90</v>
      </c>
      <c r="E3" s="66">
        <f>'F-Budgeting Assumptions'!$B$8</f>
        <v>90</v>
      </c>
      <c r="F3" s="66">
        <f>'F-Budgeting Assumptions'!$B$8</f>
        <v>90</v>
      </c>
      <c r="G3" s="66">
        <f>'F-Budgeting Assumptions'!$B$8</f>
        <v>90</v>
      </c>
      <c r="H3" s="66">
        <f>'F-Budgeting Assumptions'!$B$8</f>
        <v>90</v>
      </c>
      <c r="I3" s="66">
        <f>'F-Budgeting Assumptions'!$B$8</f>
        <v>90</v>
      </c>
      <c r="J3" s="66">
        <f>'F-Budgeting Assumptions'!$B$8</f>
        <v>90</v>
      </c>
      <c r="K3" s="66">
        <f>'F-Budgeting Assumptions'!$B$8</f>
        <v>90</v>
      </c>
      <c r="L3" s="66">
        <f>'F-Budgeting Assumptions'!$B$8</f>
        <v>90</v>
      </c>
      <c r="M3" s="66">
        <f>'F-Budgeting Assumptions'!$B$8</f>
        <v>90</v>
      </c>
      <c r="P3" s="64" t="s">
        <v>44</v>
      </c>
    </row>
    <row r="4" spans="1:16" x14ac:dyDescent="0.25">
      <c r="A4" s="33" t="s">
        <v>158</v>
      </c>
      <c r="B4" s="67">
        <f>'Actual Income Statements'!B7/'F-Budgeting Assumptions'!C7</f>
        <v>84</v>
      </c>
      <c r="C4" s="67">
        <f>'Actual Income Statements'!C7/'F-Budgeting Assumptions'!D7</f>
        <v>83</v>
      </c>
      <c r="D4" s="67">
        <f>'Actual Income Statements'!D7/'F-Budgeting Assumptions'!E7</f>
        <v>85</v>
      </c>
      <c r="E4" s="67">
        <f>'Actual Income Statements'!E7/'F-Budgeting Assumptions'!F7</f>
        <v>88</v>
      </c>
      <c r="F4" s="67">
        <f>'Actual Income Statements'!F7/'F-Budgeting Assumptions'!G7</f>
        <v>89</v>
      </c>
      <c r="G4" s="67">
        <f>'Actual Income Statements'!G7/'F-Budgeting Assumptions'!H7</f>
        <v>90</v>
      </c>
      <c r="H4" s="67">
        <f>'Actual Income Statements'!H7/'F-Budgeting Assumptions'!I7</f>
        <v>90</v>
      </c>
      <c r="I4" s="67">
        <f>'Actual Income Statements'!I7/'F-Budgeting Assumptions'!J7</f>
        <v>90</v>
      </c>
      <c r="J4" s="67">
        <f>'Actual Income Statements'!J7/'F-Budgeting Assumptions'!K7</f>
        <v>90</v>
      </c>
      <c r="K4" s="67">
        <f>'Actual Income Statements'!K7/'F-Budgeting Assumptions'!L7</f>
        <v>90</v>
      </c>
      <c r="L4" s="67">
        <f>'Actual Income Statements'!L7/'F-Budgeting Assumptions'!M7</f>
        <v>89</v>
      </c>
      <c r="M4" s="67">
        <f>'Actual Income Statements'!M7/'F-Budgeting Assumptions'!N7</f>
        <v>85</v>
      </c>
    </row>
    <row r="5" spans="1:16" x14ac:dyDescent="0.25">
      <c r="A5" s="33" t="s">
        <v>71</v>
      </c>
      <c r="B5" s="30">
        <f>'M-Budgeting Assumptions'!C7</f>
        <v>900</v>
      </c>
      <c r="C5" s="30">
        <f>'M-Budgeting Assumptions'!D7</f>
        <v>700</v>
      </c>
      <c r="D5" s="30">
        <f>'M-Budgeting Assumptions'!E7</f>
        <v>1000</v>
      </c>
      <c r="E5" s="30">
        <f>'M-Budgeting Assumptions'!F7</f>
        <v>1100</v>
      </c>
      <c r="F5" s="30">
        <f>'M-Budgeting Assumptions'!G7</f>
        <v>1400</v>
      </c>
      <c r="G5" s="30">
        <f>'M-Budgeting Assumptions'!H7</f>
        <v>2500</v>
      </c>
      <c r="H5" s="30">
        <f>'M-Budgeting Assumptions'!I7</f>
        <v>3000</v>
      </c>
      <c r="I5" s="30">
        <f>'M-Budgeting Assumptions'!J7</f>
        <v>3200</v>
      </c>
      <c r="J5" s="30">
        <f>'M-Budgeting Assumptions'!K7</f>
        <v>2100</v>
      </c>
      <c r="K5" s="30">
        <f>'M-Budgeting Assumptions'!L7</f>
        <v>1600</v>
      </c>
      <c r="L5" s="30">
        <f>'M-Budgeting Assumptions'!M7</f>
        <v>1500</v>
      </c>
      <c r="M5" s="30">
        <f>'M-Budgeting Assumptions'!N7</f>
        <v>1100</v>
      </c>
    </row>
    <row r="6" spans="1:16" x14ac:dyDescent="0.25">
      <c r="A6" s="33" t="s">
        <v>139</v>
      </c>
      <c r="B6" s="30">
        <f>'F-Budgeting Assumptions'!C7</f>
        <v>800</v>
      </c>
      <c r="C6" s="30">
        <f>'F-Budgeting Assumptions'!D7</f>
        <v>600</v>
      </c>
      <c r="D6" s="30">
        <f>'F-Budgeting Assumptions'!E7</f>
        <v>900</v>
      </c>
      <c r="E6" s="30">
        <f>'F-Budgeting Assumptions'!F7</f>
        <v>1000</v>
      </c>
      <c r="F6" s="30">
        <f>'F-Budgeting Assumptions'!G7</f>
        <v>1200</v>
      </c>
      <c r="G6" s="30">
        <f>'F-Budgeting Assumptions'!H7</f>
        <v>2850</v>
      </c>
      <c r="H6" s="30">
        <f>'F-Budgeting Assumptions'!I7</f>
        <v>3325</v>
      </c>
      <c r="I6" s="30">
        <f>'F-Budgeting Assumptions'!J7</f>
        <v>3475</v>
      </c>
      <c r="J6" s="30">
        <f>'F-Budgeting Assumptions'!K7</f>
        <v>2340</v>
      </c>
      <c r="K6" s="30">
        <f>'F-Budgeting Assumptions'!L7</f>
        <v>1820</v>
      </c>
      <c r="L6" s="30">
        <f>'F-Budgeting Assumptions'!M7</f>
        <v>1200</v>
      </c>
      <c r="M6" s="30">
        <f>'F-Budgeting Assumptions'!N7</f>
        <v>900</v>
      </c>
    </row>
    <row r="8" spans="1:16" ht="17.399999999999999" x14ac:dyDescent="0.3">
      <c r="A8" s="43" t="s">
        <v>151</v>
      </c>
    </row>
    <row r="9" spans="1:16" ht="15.6" x14ac:dyDescent="0.3">
      <c r="B9" s="2" t="s">
        <v>80</v>
      </c>
      <c r="C9" s="2" t="s">
        <v>81</v>
      </c>
      <c r="D9" s="2" t="s">
        <v>82</v>
      </c>
      <c r="E9" s="2" t="s">
        <v>83</v>
      </c>
      <c r="F9" s="2" t="s">
        <v>99</v>
      </c>
      <c r="G9" s="2" t="s">
        <v>85</v>
      </c>
      <c r="H9" s="2" t="s">
        <v>86</v>
      </c>
      <c r="I9" s="2" t="s">
        <v>87</v>
      </c>
      <c r="J9" s="2" t="s">
        <v>88</v>
      </c>
      <c r="K9" s="2" t="s">
        <v>89</v>
      </c>
      <c r="L9" s="2" t="s">
        <v>90</v>
      </c>
      <c r="M9" s="2" t="s">
        <v>91</v>
      </c>
      <c r="N9" s="2" t="s">
        <v>159</v>
      </c>
    </row>
    <row r="10" spans="1:16" x14ac:dyDescent="0.25">
      <c r="A10" s="33" t="s">
        <v>152</v>
      </c>
      <c r="B10" s="85">
        <v>0.45</v>
      </c>
      <c r="C10" s="85">
        <v>0.45</v>
      </c>
      <c r="D10" s="85">
        <v>0.4499999999999999</v>
      </c>
      <c r="E10" s="85">
        <v>0.4499999999999999</v>
      </c>
      <c r="F10" s="85">
        <v>0.45</v>
      </c>
      <c r="G10" s="85">
        <v>0.44999999999999996</v>
      </c>
      <c r="H10" s="85">
        <v>0.45</v>
      </c>
      <c r="I10" s="85">
        <v>0.45</v>
      </c>
      <c r="J10" s="85">
        <v>0.4499999999999999</v>
      </c>
      <c r="K10" s="85">
        <v>0.45</v>
      </c>
      <c r="L10" s="85">
        <v>0.45</v>
      </c>
      <c r="M10" s="85">
        <v>0.4499999999999999</v>
      </c>
      <c r="N10" s="86">
        <v>5</v>
      </c>
    </row>
    <row r="11" spans="1:16" x14ac:dyDescent="0.25">
      <c r="A11" s="33" t="s">
        <v>153</v>
      </c>
      <c r="B11" s="85">
        <v>0.41071428571428559</v>
      </c>
      <c r="C11" s="85">
        <v>0.40361445783132521</v>
      </c>
      <c r="D11" s="85">
        <v>0.41764705882352937</v>
      </c>
      <c r="E11" s="85">
        <v>0.43749999999999989</v>
      </c>
      <c r="F11" s="85">
        <v>0.4438202247191011</v>
      </c>
      <c r="G11" s="85">
        <v>0.44999999999999996</v>
      </c>
      <c r="H11" s="85">
        <v>0.44999999999999996</v>
      </c>
      <c r="I11" s="85">
        <v>0.44999999999999996</v>
      </c>
      <c r="J11" s="85">
        <v>0.44999999999999996</v>
      </c>
      <c r="K11" s="85">
        <v>0.44999999999999996</v>
      </c>
      <c r="L11" s="85">
        <v>0.4438202247191011</v>
      </c>
      <c r="M11" s="85">
        <v>0.41764705882352937</v>
      </c>
      <c r="N11" s="86">
        <v>5</v>
      </c>
    </row>
    <row r="12" spans="1:16" x14ac:dyDescent="0.25">
      <c r="A12" s="33" t="s">
        <v>154</v>
      </c>
      <c r="B12" s="85">
        <v>0.39</v>
      </c>
      <c r="C12" s="85">
        <v>0.39200000000000007</v>
      </c>
      <c r="D12" s="85">
        <v>0.40699999999999997</v>
      </c>
      <c r="E12" s="85">
        <v>0.4300000000000001</v>
      </c>
      <c r="F12" s="85">
        <v>0.43999999999999995</v>
      </c>
      <c r="G12" s="85">
        <v>0.45</v>
      </c>
      <c r="H12" s="85">
        <v>0.45</v>
      </c>
      <c r="I12" s="85">
        <v>0.45</v>
      </c>
      <c r="J12" s="85">
        <v>0.44999999999999996</v>
      </c>
      <c r="K12" s="85">
        <v>0.45</v>
      </c>
      <c r="L12" s="85">
        <v>0.44499999999999995</v>
      </c>
      <c r="M12" s="85">
        <v>0.40699999999999997</v>
      </c>
      <c r="N12" s="86">
        <v>7996.64</v>
      </c>
    </row>
    <row r="13" spans="1:16" ht="15" x14ac:dyDescent="0.4">
      <c r="A13" s="33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</row>
    <row r="14" spans="1:16" ht="15" x14ac:dyDescent="0.4"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</row>
    <row r="15" spans="1:16" ht="17.399999999999999" x14ac:dyDescent="0.3">
      <c r="A15" s="43" t="s">
        <v>160</v>
      </c>
    </row>
    <row r="16" spans="1:16" ht="15.6" x14ac:dyDescent="0.3">
      <c r="A16" s="33"/>
      <c r="B16" s="2" t="s">
        <v>80</v>
      </c>
      <c r="C16" s="2" t="s">
        <v>81</v>
      </c>
      <c r="D16" s="2" t="s">
        <v>82</v>
      </c>
      <c r="E16" s="2" t="s">
        <v>83</v>
      </c>
      <c r="F16" s="2" t="s">
        <v>99</v>
      </c>
      <c r="G16" s="2" t="s">
        <v>85</v>
      </c>
      <c r="H16" s="2" t="s">
        <v>86</v>
      </c>
      <c r="I16" s="2" t="s">
        <v>87</v>
      </c>
      <c r="J16" s="2" t="s">
        <v>88</v>
      </c>
      <c r="K16" s="2" t="s">
        <v>89</v>
      </c>
      <c r="L16" s="2" t="s">
        <v>90</v>
      </c>
      <c r="M16" s="2" t="s">
        <v>91</v>
      </c>
      <c r="N16" s="2" t="s">
        <v>159</v>
      </c>
    </row>
    <row r="17" spans="1:14" x14ac:dyDescent="0.25">
      <c r="A17" s="33" t="s">
        <v>183</v>
      </c>
      <c r="B17" s="35">
        <f>'M-Selling &amp; Admin Budget'!B8</f>
        <v>7200</v>
      </c>
      <c r="C17" s="35">
        <f>'M-Selling &amp; Admin Budget'!C8</f>
        <v>5600</v>
      </c>
      <c r="D17" s="35">
        <f>'M-Selling &amp; Admin Budget'!D8</f>
        <v>8000</v>
      </c>
      <c r="E17" s="35">
        <f>'M-Selling &amp; Admin Budget'!E8</f>
        <v>8800</v>
      </c>
      <c r="F17" s="35">
        <f>'M-Selling &amp; Admin Budget'!F8</f>
        <v>11200</v>
      </c>
      <c r="G17" s="35">
        <f>'M-Selling &amp; Admin Budget'!G8</f>
        <v>20000</v>
      </c>
      <c r="H17" s="35">
        <f>'M-Selling &amp; Admin Budget'!H8</f>
        <v>24000</v>
      </c>
      <c r="I17" s="35">
        <f>'M-Selling &amp; Admin Budget'!I8</f>
        <v>25600</v>
      </c>
      <c r="J17" s="35">
        <f>'M-Selling &amp; Admin Budget'!J8</f>
        <v>16800</v>
      </c>
      <c r="K17" s="35">
        <f>'M-Selling &amp; Admin Budget'!K8</f>
        <v>12800</v>
      </c>
      <c r="L17" s="35">
        <f>'M-Selling &amp; Admin Budget'!L8</f>
        <v>12000</v>
      </c>
      <c r="M17" s="35">
        <f>'M-Selling &amp; Admin Budget'!M8</f>
        <v>8800</v>
      </c>
      <c r="N17" s="63">
        <f>SUM(B17:M17)</f>
        <v>160800</v>
      </c>
    </row>
    <row r="18" spans="1:14" ht="15" x14ac:dyDescent="0.4">
      <c r="A18" s="33" t="s">
        <v>184</v>
      </c>
      <c r="B18" s="61">
        <f>'M-Selling &amp; Admin Budget'!B15</f>
        <v>54000</v>
      </c>
      <c r="C18" s="61">
        <f>'M-Selling &amp; Admin Budget'!C15</f>
        <v>54000</v>
      </c>
      <c r="D18" s="61">
        <f>'M-Selling &amp; Admin Budget'!D15</f>
        <v>54000</v>
      </c>
      <c r="E18" s="61">
        <f>'M-Selling &amp; Admin Budget'!E15</f>
        <v>54000</v>
      </c>
      <c r="F18" s="61">
        <f>'M-Selling &amp; Admin Budget'!F15</f>
        <v>54000</v>
      </c>
      <c r="G18" s="61">
        <f>'M-Selling &amp; Admin Budget'!G15</f>
        <v>54000</v>
      </c>
      <c r="H18" s="61">
        <f>'M-Selling &amp; Admin Budget'!H15</f>
        <v>54000</v>
      </c>
      <c r="I18" s="61">
        <f>'M-Selling &amp; Admin Budget'!I15</f>
        <v>54000</v>
      </c>
      <c r="J18" s="61">
        <f>'M-Selling &amp; Admin Budget'!J15</f>
        <v>54000</v>
      </c>
      <c r="K18" s="61">
        <f>'M-Selling &amp; Admin Budget'!K15</f>
        <v>54000</v>
      </c>
      <c r="L18" s="61">
        <f>'M-Selling &amp; Admin Budget'!L15</f>
        <v>54000</v>
      </c>
      <c r="M18" s="61">
        <f>'M-Selling &amp; Admin Budget'!M15</f>
        <v>54000</v>
      </c>
      <c r="N18" s="65">
        <f>SUM(B18:M18)</f>
        <v>648000</v>
      </c>
    </row>
    <row r="19" spans="1:14" ht="15" x14ac:dyDescent="0.4">
      <c r="A19" s="33" t="s">
        <v>185</v>
      </c>
      <c r="B19" s="62">
        <f>SUM(B17:B18)</f>
        <v>61200</v>
      </c>
      <c r="C19" s="62">
        <f t="shared" ref="C19" si="0">SUM(C17:C18)</f>
        <v>59600</v>
      </c>
      <c r="D19" s="62">
        <f t="shared" ref="D19" si="1">SUM(D17:D18)</f>
        <v>62000</v>
      </c>
      <c r="E19" s="62">
        <f t="shared" ref="E19" si="2">SUM(E17:E18)</f>
        <v>62800</v>
      </c>
      <c r="F19" s="62">
        <f t="shared" ref="F19" si="3">SUM(F17:F18)</f>
        <v>65200</v>
      </c>
      <c r="G19" s="62">
        <f t="shared" ref="G19" si="4">SUM(G17:G18)</f>
        <v>74000</v>
      </c>
      <c r="H19" s="62">
        <f t="shared" ref="H19" si="5">SUM(H17:H18)</f>
        <v>78000</v>
      </c>
      <c r="I19" s="62">
        <f t="shared" ref="I19" si="6">SUM(I17:I18)</f>
        <v>79600</v>
      </c>
      <c r="J19" s="62">
        <f t="shared" ref="J19" si="7">SUM(J17:J18)</f>
        <v>70800</v>
      </c>
      <c r="K19" s="62">
        <f t="shared" ref="K19" si="8">SUM(K17:K18)</f>
        <v>66800</v>
      </c>
      <c r="L19" s="62">
        <f t="shared" ref="L19" si="9">SUM(L17:L18)</f>
        <v>66000</v>
      </c>
      <c r="M19" s="62">
        <f t="shared" ref="M19:N19" si="10">SUM(M17:M18)</f>
        <v>62800</v>
      </c>
      <c r="N19" s="62">
        <f t="shared" si="10"/>
        <v>808800</v>
      </c>
    </row>
    <row r="20" spans="1:14" x14ac:dyDescent="0.25">
      <c r="A20" s="33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1:14" x14ac:dyDescent="0.25">
      <c r="A21" s="33" t="s">
        <v>186</v>
      </c>
      <c r="B21" s="35">
        <f>'F-Selling &amp; Admin Budget'!B8</f>
        <v>6400</v>
      </c>
      <c r="C21" s="35">
        <f>'F-Selling &amp; Admin Budget'!C8</f>
        <v>4800</v>
      </c>
      <c r="D21" s="35">
        <f>'F-Selling &amp; Admin Budget'!D8</f>
        <v>7200</v>
      </c>
      <c r="E21" s="35">
        <f>'F-Selling &amp; Admin Budget'!E8</f>
        <v>8000</v>
      </c>
      <c r="F21" s="35">
        <f>'F-Selling &amp; Admin Budget'!F8</f>
        <v>9600</v>
      </c>
      <c r="G21" s="35">
        <f>'F-Selling &amp; Admin Budget'!G8</f>
        <v>22800</v>
      </c>
      <c r="H21" s="35">
        <f>'F-Selling &amp; Admin Budget'!H8</f>
        <v>26600</v>
      </c>
      <c r="I21" s="35">
        <f>'F-Selling &amp; Admin Budget'!I8</f>
        <v>27800</v>
      </c>
      <c r="J21" s="35">
        <f>'F-Selling &amp; Admin Budget'!J8</f>
        <v>18720</v>
      </c>
      <c r="K21" s="35">
        <f>'F-Selling &amp; Admin Budget'!K8</f>
        <v>14560</v>
      </c>
      <c r="L21" s="35">
        <f>'F-Selling &amp; Admin Budget'!L8</f>
        <v>9600</v>
      </c>
      <c r="M21" s="35">
        <f>'F-Selling &amp; Admin Budget'!M8</f>
        <v>7200</v>
      </c>
      <c r="N21" s="63">
        <f>SUM(B21:M21)</f>
        <v>163280</v>
      </c>
    </row>
    <row r="22" spans="1:14" ht="15" x14ac:dyDescent="0.4">
      <c r="A22" s="33" t="s">
        <v>187</v>
      </c>
      <c r="B22" s="61">
        <f>'F-Selling &amp; Admin Budget'!B15</f>
        <v>54000</v>
      </c>
      <c r="C22" s="61">
        <f>'F-Selling &amp; Admin Budget'!C15</f>
        <v>54000</v>
      </c>
      <c r="D22" s="61">
        <f>'F-Selling &amp; Admin Budget'!D15</f>
        <v>54000</v>
      </c>
      <c r="E22" s="61">
        <f>'F-Selling &amp; Admin Budget'!E15</f>
        <v>54000</v>
      </c>
      <c r="F22" s="61">
        <f>'F-Selling &amp; Admin Budget'!F15</f>
        <v>54000</v>
      </c>
      <c r="G22" s="61">
        <f>'F-Selling &amp; Admin Budget'!G15</f>
        <v>54000</v>
      </c>
      <c r="H22" s="61">
        <f>'F-Selling &amp; Admin Budget'!H15</f>
        <v>54000</v>
      </c>
      <c r="I22" s="61">
        <f>'F-Selling &amp; Admin Budget'!I15</f>
        <v>54000</v>
      </c>
      <c r="J22" s="61">
        <f>'F-Selling &amp; Admin Budget'!J15</f>
        <v>54000</v>
      </c>
      <c r="K22" s="61">
        <f>'F-Selling &amp; Admin Budget'!K15</f>
        <v>54000</v>
      </c>
      <c r="L22" s="61">
        <f>'F-Selling &amp; Admin Budget'!L15</f>
        <v>54000</v>
      </c>
      <c r="M22" s="61">
        <f>'F-Selling &amp; Admin Budget'!M15</f>
        <v>54000</v>
      </c>
      <c r="N22" s="65">
        <f>SUM(B22:M22)</f>
        <v>648000</v>
      </c>
    </row>
    <row r="23" spans="1:14" ht="15" x14ac:dyDescent="0.4">
      <c r="A23" s="33" t="s">
        <v>188</v>
      </c>
      <c r="B23" s="62">
        <f>SUM(B21:B22)</f>
        <v>60400</v>
      </c>
      <c r="C23" s="62">
        <f t="shared" ref="C23" si="11">SUM(C21:C22)</f>
        <v>58800</v>
      </c>
      <c r="D23" s="62">
        <f t="shared" ref="D23" si="12">SUM(D21:D22)</f>
        <v>61200</v>
      </c>
      <c r="E23" s="62">
        <f t="shared" ref="E23" si="13">SUM(E21:E22)</f>
        <v>62000</v>
      </c>
      <c r="F23" s="62">
        <f t="shared" ref="F23" si="14">SUM(F21:F22)</f>
        <v>63600</v>
      </c>
      <c r="G23" s="62">
        <f t="shared" ref="G23" si="15">SUM(G21:G22)</f>
        <v>76800</v>
      </c>
      <c r="H23" s="62">
        <f t="shared" ref="H23" si="16">SUM(H21:H22)</f>
        <v>80600</v>
      </c>
      <c r="I23" s="62">
        <f t="shared" ref="I23" si="17">SUM(I21:I22)</f>
        <v>81800</v>
      </c>
      <c r="J23" s="62">
        <f t="shared" ref="J23" si="18">SUM(J21:J22)</f>
        <v>72720</v>
      </c>
      <c r="K23" s="62">
        <f t="shared" ref="K23" si="19">SUM(K21:K22)</f>
        <v>68560</v>
      </c>
      <c r="L23" s="62">
        <f t="shared" ref="L23" si="20">SUM(L21:L22)</f>
        <v>63600</v>
      </c>
      <c r="M23" s="62">
        <f t="shared" ref="M23:N23" si="21">SUM(M21:M22)</f>
        <v>61200</v>
      </c>
      <c r="N23" s="62">
        <f t="shared" si="21"/>
        <v>811280</v>
      </c>
    </row>
    <row r="25" spans="1:14" x14ac:dyDescent="0.25">
      <c r="A25" s="33" t="s">
        <v>155</v>
      </c>
      <c r="B25" s="35">
        <f>'Actual Income Statements'!B10</f>
        <v>60800</v>
      </c>
      <c r="C25" s="35">
        <f>'Actual Income Statements'!C10</f>
        <v>59100</v>
      </c>
      <c r="D25" s="35">
        <f>'Actual Income Statements'!D10</f>
        <v>61650</v>
      </c>
      <c r="E25" s="35">
        <f>'Actual Income Statements'!E10</f>
        <v>62500</v>
      </c>
      <c r="F25" s="35">
        <f>'Actual Income Statements'!F10</f>
        <v>69200</v>
      </c>
      <c r="G25" s="35">
        <f>'Actual Income Statements'!G10</f>
        <v>84650</v>
      </c>
      <c r="H25" s="35">
        <f>'Actual Income Statements'!H10</f>
        <v>90425</v>
      </c>
      <c r="I25" s="35">
        <f>'Actual Income Statements'!I10</f>
        <v>91775</v>
      </c>
      <c r="J25" s="35">
        <f>'Actual Income Statements'!J10</f>
        <v>76560</v>
      </c>
      <c r="K25" s="35">
        <f>'Actual Income Statements'!K10</f>
        <v>71880</v>
      </c>
      <c r="L25" s="35">
        <f>'Actual Income Statements'!L10</f>
        <v>66300</v>
      </c>
      <c r="M25" s="35">
        <f>'Actual Income Statements'!M10</f>
        <v>63600</v>
      </c>
      <c r="N25" s="63">
        <f>SUM(B25:M25)</f>
        <v>858440</v>
      </c>
    </row>
    <row r="27" spans="1:14" ht="17.399999999999999" x14ac:dyDescent="0.3">
      <c r="A27" s="43" t="s">
        <v>161</v>
      </c>
    </row>
    <row r="28" spans="1:14" ht="15.6" x14ac:dyDescent="0.3">
      <c r="B28" s="2" t="s">
        <v>80</v>
      </c>
      <c r="C28" s="2" t="s">
        <v>81</v>
      </c>
      <c r="D28" s="2" t="s">
        <v>82</v>
      </c>
      <c r="E28" s="2" t="s">
        <v>83</v>
      </c>
      <c r="F28" s="2" t="s">
        <v>99</v>
      </c>
      <c r="G28" s="2" t="s">
        <v>85</v>
      </c>
      <c r="H28" s="2" t="s">
        <v>86</v>
      </c>
      <c r="I28" s="2" t="s">
        <v>87</v>
      </c>
      <c r="J28" s="2" t="s">
        <v>88</v>
      </c>
      <c r="K28" s="2" t="s">
        <v>89</v>
      </c>
      <c r="L28" s="2" t="s">
        <v>90</v>
      </c>
      <c r="M28" s="2" t="s">
        <v>91</v>
      </c>
      <c r="N28" s="2" t="s">
        <v>159</v>
      </c>
    </row>
    <row r="29" spans="1:14" x14ac:dyDescent="0.25">
      <c r="A29" s="33" t="s">
        <v>162</v>
      </c>
      <c r="B29" s="35">
        <f>'M-Budgeted Income Statements'!B13</f>
        <v>-24750</v>
      </c>
      <c r="C29" s="35">
        <f>'M-Budgeted Income Statements'!C13</f>
        <v>-31250</v>
      </c>
      <c r="D29" s="35">
        <f>'M-Budgeted Income Statements'!D13</f>
        <v>-21547.856250000008</v>
      </c>
      <c r="E29" s="35">
        <f>'M-Budgeted Income Statements'!E13</f>
        <v>-18446.368750000009</v>
      </c>
      <c r="F29" s="35">
        <f>'M-Budgeted Income Statements'!F13</f>
        <v>-8843.1187499999996</v>
      </c>
      <c r="G29" s="35">
        <f>'M-Budgeted Income Statements'!G13</f>
        <v>26805.218749999985</v>
      </c>
      <c r="H29" s="35">
        <f>'M-Budgeted Income Statements'!H13</f>
        <v>43055.21875</v>
      </c>
      <c r="I29" s="35">
        <f>'M-Budgeted Income Statements'!I13</f>
        <v>49555.21875</v>
      </c>
      <c r="J29" s="35">
        <f>'M-Budgeted Income Statements'!J13</f>
        <v>13805.218749999985</v>
      </c>
      <c r="K29" s="35">
        <f>'M-Budgeted Income Statements'!K13</f>
        <v>-2444.78125</v>
      </c>
      <c r="L29" s="35">
        <f>'M-Budgeted Income Statements'!L13</f>
        <v>-5694.78125</v>
      </c>
      <c r="M29" s="35">
        <f>'M-Budgeted Income Statements'!M13</f>
        <v>-18694.781250000007</v>
      </c>
      <c r="N29" s="35">
        <f>'M-Budgeted Income Statements'!N13</f>
        <v>1549.1875</v>
      </c>
    </row>
    <row r="30" spans="1:14" x14ac:dyDescent="0.25">
      <c r="A30" s="33" t="s">
        <v>163</v>
      </c>
      <c r="B30" s="35">
        <f>'F-Budgeted Income Statements'!B13</f>
        <v>-28000</v>
      </c>
      <c r="C30" s="35">
        <f>'F-Budgeted Income Statements'!C13</f>
        <v>-34500</v>
      </c>
      <c r="D30" s="35">
        <f>'F-Budgeted Income Statements'!D13</f>
        <v>-24853.056250000001</v>
      </c>
      <c r="E30" s="35">
        <f>'F-Budgeted Income Statements'!E13</f>
        <v>-21782.212500000009</v>
      </c>
      <c r="F30" s="35">
        <f>'F-Budgeted Income Statements'!F13</f>
        <v>-15463.728125000007</v>
      </c>
      <c r="G30" s="35">
        <f>'F-Budgeted Income Statements'!G13</f>
        <v>37951.3828125</v>
      </c>
      <c r="H30" s="35">
        <f>'F-Budgeted Income Statements'!H13</f>
        <v>53388.8828125</v>
      </c>
      <c r="I30" s="35">
        <f>'F-Budgeted Income Statements'!I13</f>
        <v>58263.8828125</v>
      </c>
      <c r="J30" s="35">
        <f>'F-Budgeted Income Statements'!J13</f>
        <v>21376.382812499985</v>
      </c>
      <c r="K30" s="35">
        <f>'F-Budgeted Income Statements'!K13</f>
        <v>4476.3828125</v>
      </c>
      <c r="L30" s="35">
        <f>'F-Budgeted Income Statements'!L13</f>
        <v>-15673.617187500007</v>
      </c>
      <c r="M30" s="35">
        <f>'F-Budgeted Income Statements'!M13</f>
        <v>-25423.6171875</v>
      </c>
      <c r="N30" s="35">
        <f>'F-Budgeted Income Statements'!N13</f>
        <v>9760.6828124999993</v>
      </c>
    </row>
    <row r="31" spans="1:14" x14ac:dyDescent="0.25">
      <c r="A31" s="33" t="s">
        <v>164</v>
      </c>
      <c r="B31" s="35">
        <f>'Actual Income Statements'!B13</f>
        <v>-34592</v>
      </c>
      <c r="C31" s="35">
        <f>'Actual Income Statements'!C13</f>
        <v>-39578.399999999994</v>
      </c>
      <c r="D31" s="35">
        <f>'Actual Income Statements'!D13</f>
        <v>-30763.09749425</v>
      </c>
      <c r="E31" s="35">
        <f>'Actual Income Statements'!E13</f>
        <v>-25155.550759999991</v>
      </c>
      <c r="F31" s="35">
        <f>'Actual Income Statements'!F13</f>
        <v>-22981.129025000006</v>
      </c>
      <c r="G31" s="35">
        <f>'Actual Income Statements'!G13</f>
        <v>29609.781981250002</v>
      </c>
      <c r="H31" s="35">
        <f>'Actual Income Statements'!H13</f>
        <v>43072.281981250002</v>
      </c>
      <c r="I31" s="35">
        <f>'Actual Income Statements'!I13</f>
        <v>47797.281981250002</v>
      </c>
      <c r="J31" s="35">
        <f>'Actual Income Statements'!J13</f>
        <v>17044.781981249987</v>
      </c>
      <c r="K31" s="35">
        <f>'Actual Income Statements'!K13</f>
        <v>664.78198125000017</v>
      </c>
      <c r="L31" s="35">
        <f>'Actual Income Statements'!L13</f>
        <v>-19939.218018750005</v>
      </c>
      <c r="M31" s="35">
        <f>'Actual Income Statements'!M13</f>
        <v>-33629.718018749998</v>
      </c>
      <c r="N31" s="35">
        <f>'Actual Income Statements'!N13</f>
        <v>-68450.20341050002</v>
      </c>
    </row>
    <row r="32" spans="1:14" x14ac:dyDescent="0.25">
      <c r="A32" s="33" t="s">
        <v>165</v>
      </c>
      <c r="B32" s="69">
        <f>'F-Budgeted Income Statements'!B13/'F-Budgeted Income Statements'!B7</f>
        <v>-0.3888888888888889</v>
      </c>
      <c r="C32" s="69">
        <f>'F-Budgeted Income Statements'!C13/'F-Budgeted Income Statements'!C7</f>
        <v>-0.63888888888888884</v>
      </c>
      <c r="D32" s="69">
        <f>'F-Budgeted Income Statements'!D13/'F-Budgeted Income Statements'!D7</f>
        <v>-0.30682785493827164</v>
      </c>
      <c r="E32" s="69">
        <f>'F-Budgeted Income Statements'!E13/'F-Budgeted Income Statements'!E7</f>
        <v>-0.24202458333333343</v>
      </c>
      <c r="F32" s="69">
        <f>'F-Budgeted Income Statements'!F13/'F-Budgeted Income Statements'!F7</f>
        <v>-0.14318266782407413</v>
      </c>
      <c r="G32" s="69">
        <f>'F-Budgeted Income Statements'!G13/'F-Budgeted Income Statements'!G7</f>
        <v>0.14795860745614034</v>
      </c>
      <c r="H32" s="69">
        <f>'F-Budgeted Income Statements'!H13/'F-Budgeted Income Statements'!H7</f>
        <v>0.17840896512113619</v>
      </c>
      <c r="I32" s="69">
        <f>'F-Budgeted Income Statements'!I13/'F-Budgeted Income Statements'!I7</f>
        <v>0.18629538868904877</v>
      </c>
      <c r="J32" s="69">
        <f>'F-Budgeted Income Statements'!J13/'F-Budgeted Income Statements'!J7</f>
        <v>0.10150229255697998</v>
      </c>
      <c r="K32" s="69">
        <f>'F-Budgeted Income Statements'!K13/'F-Budgeted Income Statements'!K7</f>
        <v>2.73283443986569E-2</v>
      </c>
      <c r="L32" s="69">
        <f>'F-Budgeted Income Statements'!L13/'F-Budgeted Income Statements'!L7</f>
        <v>-0.14512608506944452</v>
      </c>
      <c r="M32" s="69">
        <f>'F-Budgeted Income Statements'!M13/'F-Budgeted Income Statements'!M7</f>
        <v>-0.31387181712962964</v>
      </c>
      <c r="N32" s="69">
        <f>'F-Budgeted Income Statements'!N13/'F-Budgeted Income Statements'!N7</f>
        <v>5.3136713008329244E-3</v>
      </c>
    </row>
    <row r="33" spans="1:14" x14ac:dyDescent="0.25">
      <c r="A33" s="33" t="s">
        <v>166</v>
      </c>
      <c r="B33" s="69">
        <f>'Actual Income Statements'!B13/'Actual Income Statements'!B7</f>
        <v>-0.51476190476190475</v>
      </c>
      <c r="C33" s="69">
        <f>'Actual Income Statements'!C13/'Actual Income Statements'!C7</f>
        <v>-0.79474698795180709</v>
      </c>
      <c r="D33" s="69">
        <f>'Actual Income Statements'!D13/'Actual Income Statements'!D7</f>
        <v>-0.40213199338888889</v>
      </c>
      <c r="E33" s="69">
        <f>'Actual Income Statements'!E13/'Actual Income Statements'!E7</f>
        <v>-0.28585853136363626</v>
      </c>
      <c r="F33" s="69">
        <f>'Actual Income Statements'!F13/'Actual Income Statements'!F7</f>
        <v>-0.21517911072097384</v>
      </c>
      <c r="G33" s="69">
        <f>'Actual Income Statements'!G13/'Actual Income Statements'!G7</f>
        <v>0.11543774651559455</v>
      </c>
      <c r="H33" s="69">
        <f>'Actual Income Statements'!H13/'Actual Income Statements'!H7</f>
        <v>0.1439341085421888</v>
      </c>
      <c r="I33" s="69">
        <f>'Actual Income Statements'!I13/'Actual Income Statements'!I7</f>
        <v>0.15282903910871304</v>
      </c>
      <c r="J33" s="69">
        <f>'Actual Income Statements'!J13/'Actual Income Statements'!J7</f>
        <v>8.0934387375356062E-2</v>
      </c>
      <c r="K33" s="69">
        <f>'Actual Income Statements'!K13/'Actual Income Statements'!K7</f>
        <v>4.0584980540293051E-3</v>
      </c>
      <c r="L33" s="69">
        <f>'Actual Income Statements'!L13/'Actual Income Statements'!L7</f>
        <v>-0.18669679792837082</v>
      </c>
      <c r="M33" s="69">
        <f>'Actual Income Statements'!M13/'Actual Income Statements'!M7</f>
        <v>-0.43960415710784312</v>
      </c>
      <c r="N33" s="69">
        <f>'Actual Income Statements'!N13/'Actual Income Statements'!N7</f>
        <v>-3.7724002981813186E-2</v>
      </c>
    </row>
    <row r="38" spans="1:14" ht="17.399999999999999" x14ac:dyDescent="0.3">
      <c r="A38" s="43"/>
    </row>
    <row r="39" spans="1:14" x14ac:dyDescent="0.25">
      <c r="A39" s="33"/>
    </row>
    <row r="40" spans="1:14" x14ac:dyDescent="0.25">
      <c r="A40" s="33"/>
    </row>
    <row r="41" spans="1:14" x14ac:dyDescent="0.25">
      <c r="A41" s="33"/>
    </row>
    <row r="42" spans="1:14" x14ac:dyDescent="0.25">
      <c r="A42" s="33"/>
    </row>
    <row r="43" spans="1:14" x14ac:dyDescent="0.25">
      <c r="A43" s="33"/>
    </row>
    <row r="44" spans="1:14" x14ac:dyDescent="0.25">
      <c r="A44" s="33"/>
    </row>
    <row r="45" spans="1:14" x14ac:dyDescent="0.25">
      <c r="A45" s="33"/>
    </row>
    <row r="46" spans="1:14" x14ac:dyDescent="0.25">
      <c r="A46" s="33"/>
    </row>
    <row r="47" spans="1:14" x14ac:dyDescent="0.25">
      <c r="A47" s="33"/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266A3-830F-473D-ACB0-DBC6EBEC6F5D}">
  <dimension ref="A1"/>
  <sheetViews>
    <sheetView workbookViewId="0">
      <selection activeCell="U19" sqref="U18:U19"/>
    </sheetView>
  </sheetViews>
  <sheetFormatPr defaultRowHeight="13.2" x14ac:dyDescent="0.25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30"/>
  <sheetViews>
    <sheetView zoomScale="110" zoomScaleNormal="110" workbookViewId="0">
      <selection activeCell="F7" sqref="F7"/>
    </sheetView>
  </sheetViews>
  <sheetFormatPr defaultRowHeight="13.2" x14ac:dyDescent="0.25"/>
  <cols>
    <col min="1" max="1" width="44" bestFit="1" customWidth="1"/>
    <col min="2" max="14" width="15" customWidth="1"/>
  </cols>
  <sheetData>
    <row r="1" spans="1:14" ht="17.399999999999999" x14ac:dyDescent="0.3">
      <c r="A1" s="43" t="s">
        <v>167</v>
      </c>
    </row>
    <row r="2" spans="1:14" ht="17.399999999999999" x14ac:dyDescent="0.3">
      <c r="A2" s="43"/>
      <c r="B2" s="2" t="s">
        <v>80</v>
      </c>
      <c r="C2" s="2" t="s">
        <v>81</v>
      </c>
      <c r="D2" s="2" t="s">
        <v>82</v>
      </c>
      <c r="E2" s="2" t="s">
        <v>83</v>
      </c>
      <c r="F2" s="2" t="s">
        <v>99</v>
      </c>
      <c r="G2" s="2" t="s">
        <v>85</v>
      </c>
      <c r="H2" s="2" t="s">
        <v>86</v>
      </c>
      <c r="I2" s="2" t="s">
        <v>87</v>
      </c>
      <c r="J2" s="2" t="s">
        <v>88</v>
      </c>
      <c r="K2" s="2" t="s">
        <v>89</v>
      </c>
      <c r="L2" s="2" t="s">
        <v>90</v>
      </c>
      <c r="M2" s="2" t="s">
        <v>91</v>
      </c>
      <c r="N2" s="2" t="s">
        <v>159</v>
      </c>
    </row>
    <row r="3" spans="1:14" x14ac:dyDescent="0.25">
      <c r="A3" s="33" t="s">
        <v>175</v>
      </c>
      <c r="B3" s="66">
        <f>'F-Cash Budget'!B8-'F-Cash Budget'!B13+'F-Cash Budget'!B18</f>
        <v>-3073.75</v>
      </c>
      <c r="C3" s="66">
        <f>B3+'F-Cash Budget'!C8-'F-Cash Budget'!C13+'F-Cash Budget'!C18</f>
        <v>-19236.875</v>
      </c>
      <c r="D3" s="66">
        <f>C3+'F-Cash Budget'!D8-'F-Cash Budget'!D13+'F-Cash Budget'!D18</f>
        <v>-48305.625</v>
      </c>
      <c r="E3" s="66">
        <f>D3+'F-Cash Budget'!E8-'F-Cash Budget'!E13+'F-Cash Budget'!E18</f>
        <v>-66221.25</v>
      </c>
      <c r="F3" s="66">
        <f>E3+'F-Cash Budget'!F8-'F-Cash Budget'!F13+'F-Cash Budget'!F18</f>
        <v>-84372.8125</v>
      </c>
      <c r="G3" s="66">
        <f>F3+'F-Cash Budget'!G8-'F-Cash Budget'!G13+'F-Cash Budget'!G18</f>
        <v>-105361.71875</v>
      </c>
      <c r="H3" s="66">
        <f>G3+'F-Cash Budget'!H8-'F-Cash Budget'!H13+'F-Cash Budget'!H18</f>
        <v>-62788.4375</v>
      </c>
      <c r="I3" s="66">
        <f>H3+'F-Cash Budget'!I8-'F-Cash Budget'!I13+'F-Cash Budget'!I18</f>
        <v>189.34375</v>
      </c>
      <c r="J3" s="66">
        <f>I3+'F-Cash Budget'!J8-'F-Cash Budget'!J13+'F-Cash Budget'!J18</f>
        <v>77108.25</v>
      </c>
      <c r="K3" s="66">
        <f>J3+'F-Cash Budget'!K8-'F-Cash Budget'!K13+'F-Cash Budget'!K18</f>
        <v>112439.875</v>
      </c>
      <c r="L3" s="66">
        <f>K3+'F-Cash Budget'!L8-'F-Cash Budget'!L13+'F-Cash Budget'!L18</f>
        <v>131071.875</v>
      </c>
      <c r="M3" s="66">
        <f>L3+'F-Cash Budget'!M8-'F-Cash Budget'!M13+'F-Cash Budget'!M18</f>
        <v>120746.3078125</v>
      </c>
      <c r="N3" s="66"/>
    </row>
    <row r="4" spans="1:14" x14ac:dyDescent="0.25">
      <c r="A4" s="33" t="s">
        <v>176</v>
      </c>
      <c r="B4" s="67">
        <f>'Actual Cash Flows'!B8-'Actual Cash Flows'!B13+'Actual Cash Flows'!B18</f>
        <v>-5917.4047999999893</v>
      </c>
      <c r="C4" s="67">
        <f>B4+'Actual Cash Flows'!C8-'Actual Cash Flows'!C13+'Actual Cash Flows'!C18</f>
        <v>-27216.780419999988</v>
      </c>
      <c r="D4" s="67">
        <f>C4+'Actual Cash Flows'!D8-'Actual Cash Flows'!D13+'Actual Cash Flows'!D18</f>
        <v>-62859.74942499998</v>
      </c>
      <c r="E4" s="67">
        <f>D4+'Actual Cash Flows'!E8-'Actual Cash Flows'!E13+'Actual Cash Flows'!E18</f>
        <v>-87555.075999999972</v>
      </c>
      <c r="F4" s="67">
        <f>E4+'Actual Cash Flows'!F8-'Actual Cash Flows'!F13+'Actual Cash Flows'!F18</f>
        <v>-115312.90249999997</v>
      </c>
      <c r="G4" s="67">
        <f>F4+'Actual Cash Flows'!G8-'Actual Cash Flows'!G13+'Actual Cash Flows'!G18</f>
        <v>-154521.80187499998</v>
      </c>
      <c r="H4" s="67">
        <f>G4+'Actual Cash Flows'!H8-'Actual Cash Flows'!H13+'Actual Cash Flows'!H18</f>
        <v>-127873.32124999995</v>
      </c>
      <c r="I4" s="67">
        <f>H4+'Actual Cash Flows'!I8-'Actual Cash Flows'!I13+'Actual Cash Flows'!I18</f>
        <v>-69428.177899999981</v>
      </c>
      <c r="J4" s="67">
        <f>I4+'Actual Cash Flows'!J8-'Actual Cash Flows'!J13+'Actual Cash Flows'!J18</f>
        <v>9207.3733500000089</v>
      </c>
      <c r="K4" s="67">
        <f>J4+'Actual Cash Flows'!K8-'Actual Cash Flows'!K13+'Actual Cash Flows'!K18</f>
        <v>45781.636999999988</v>
      </c>
      <c r="L4" s="67">
        <f>K4+'Actual Cash Flows'!L8-'Actual Cash Flows'!L13+'Actual Cash Flows'!L18</f>
        <v>64810.033562499972</v>
      </c>
      <c r="M4" s="67">
        <f>L4+'Actual Cash Flows'!M8-'Actual Cash Flows'!M13+'Actual Cash Flows'!M18</f>
        <v>46245.628869499968</v>
      </c>
      <c r="N4" s="66"/>
    </row>
    <row r="5" spans="1:14" x14ac:dyDescent="0.25">
      <c r="A5" s="33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</row>
    <row r="6" spans="1:14" ht="17.399999999999999" x14ac:dyDescent="0.3">
      <c r="A6" s="43" t="s">
        <v>168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</row>
    <row r="7" spans="1:14" ht="15.6" x14ac:dyDescent="0.3">
      <c r="B7" s="2" t="s">
        <v>82</v>
      </c>
      <c r="C7" s="2" t="s">
        <v>83</v>
      </c>
      <c r="D7" s="2" t="s">
        <v>99</v>
      </c>
      <c r="E7" s="2" t="s">
        <v>85</v>
      </c>
      <c r="F7" s="2" t="s">
        <v>159</v>
      </c>
      <c r="I7" s="2"/>
      <c r="J7" s="2"/>
      <c r="K7" s="2"/>
      <c r="L7" s="2"/>
      <c r="M7" s="2"/>
    </row>
    <row r="8" spans="1:14" x14ac:dyDescent="0.25">
      <c r="A8" s="33" t="s">
        <v>169</v>
      </c>
      <c r="B8" s="70">
        <f>'M-Cash Budget'!D16</f>
        <v>4785.625</v>
      </c>
      <c r="C8" s="70">
        <f>'M-Cash Budget'!E16</f>
        <v>14851.25</v>
      </c>
      <c r="D8" s="70">
        <f>'M-Cash Budget'!F16</f>
        <v>14675</v>
      </c>
      <c r="E8" s="70">
        <f>'M-Cash Budget'!G16</f>
        <v>10166.25</v>
      </c>
      <c r="F8" s="70">
        <f>'M-Cash Budget'!N16</f>
        <v>44478.125</v>
      </c>
      <c r="I8" s="70"/>
      <c r="J8" s="70"/>
      <c r="K8" s="70"/>
      <c r="L8" s="70"/>
      <c r="M8" s="70"/>
    </row>
    <row r="9" spans="1:14" x14ac:dyDescent="0.25">
      <c r="A9" s="33" t="s">
        <v>170</v>
      </c>
      <c r="B9" s="70">
        <f>'F-Cash Budget'!D16</f>
        <v>10305.625</v>
      </c>
      <c r="C9" s="70">
        <f>'F-Cash Budget'!E16</f>
        <v>17915.625</v>
      </c>
      <c r="D9" s="70">
        <f>'F-Cash Budget'!F16</f>
        <v>18151.5625</v>
      </c>
      <c r="E9" s="70">
        <f>'F-Cash Budget'!G16</f>
        <v>20988.90625</v>
      </c>
      <c r="F9" s="70">
        <f>'F-Cash Budget'!N16</f>
        <v>67361.71875</v>
      </c>
      <c r="I9" s="70"/>
      <c r="J9" s="70"/>
      <c r="K9" s="70"/>
      <c r="L9" s="70"/>
      <c r="M9" s="70"/>
    </row>
    <row r="10" spans="1:14" x14ac:dyDescent="0.25">
      <c r="A10" s="33" t="s">
        <v>171</v>
      </c>
      <c r="B10" s="70">
        <f>'Actual Cash Flows'!D16</f>
        <v>24859.749424999987</v>
      </c>
      <c r="C10" s="70">
        <f>'Actual Cash Flows'!E16</f>
        <v>24695.326574999985</v>
      </c>
      <c r="D10" s="70">
        <f>'Actual Cash Flows'!F16</f>
        <v>27757.826499999996</v>
      </c>
      <c r="E10" s="70">
        <f>'Actual Cash Flows'!G16</f>
        <v>39208.899375000008</v>
      </c>
      <c r="F10" s="70">
        <f>'Actual Cash Flows'!N16</f>
        <v>116521.80187499998</v>
      </c>
      <c r="I10" s="70"/>
      <c r="J10" s="70"/>
      <c r="K10" s="70"/>
      <c r="L10" s="70"/>
      <c r="M10" s="70"/>
    </row>
    <row r="11" spans="1:14" x14ac:dyDescent="0.25">
      <c r="B11" s="67"/>
      <c r="C11" s="67"/>
    </row>
    <row r="12" spans="1:14" ht="17.399999999999999" x14ac:dyDescent="0.3">
      <c r="A12" s="43" t="s">
        <v>172</v>
      </c>
      <c r="B12" s="67"/>
      <c r="C12" s="67"/>
    </row>
    <row r="13" spans="1:14" ht="15.6" x14ac:dyDescent="0.3">
      <c r="B13" s="2" t="s">
        <v>80</v>
      </c>
      <c r="C13" s="2" t="s">
        <v>81</v>
      </c>
      <c r="D13" s="2" t="s">
        <v>82</v>
      </c>
      <c r="E13" s="2" t="s">
        <v>83</v>
      </c>
      <c r="F13" s="2" t="s">
        <v>99</v>
      </c>
      <c r="G13" s="2" t="s">
        <v>85</v>
      </c>
      <c r="H13" s="2" t="s">
        <v>86</v>
      </c>
      <c r="I13" s="2" t="s">
        <v>87</v>
      </c>
      <c r="J13" s="2" t="s">
        <v>88</v>
      </c>
      <c r="K13" s="2" t="s">
        <v>89</v>
      </c>
      <c r="L13" s="2" t="s">
        <v>90</v>
      </c>
      <c r="M13" s="2" t="s">
        <v>91</v>
      </c>
      <c r="N13" s="2" t="s">
        <v>159</v>
      </c>
    </row>
    <row r="14" spans="1:14" x14ac:dyDescent="0.25">
      <c r="A14" s="33" t="s">
        <v>173</v>
      </c>
      <c r="B14" s="68">
        <f>'F-Budgeted Balance Sheets'!B9/'F-Budgeted Income Statements'!B7</f>
        <v>0.8</v>
      </c>
      <c r="C14" s="68">
        <f>'F-Budgeted Balance Sheets'!C9/'F-Budgeted Income Statements'!C7</f>
        <v>0.8</v>
      </c>
      <c r="D14" s="68">
        <f>'F-Budgeted Balance Sheets'!D9/'F-Budgeted Income Statements'!D7</f>
        <v>0.8</v>
      </c>
      <c r="E14" s="68">
        <f>'F-Budgeted Balance Sheets'!E9/'F-Budgeted Income Statements'!E7</f>
        <v>0.8</v>
      </c>
      <c r="F14" s="68">
        <f>'F-Budgeted Balance Sheets'!F9/'F-Budgeted Income Statements'!F7</f>
        <v>0.8</v>
      </c>
      <c r="G14" s="68">
        <f>'F-Budgeted Balance Sheets'!G9/'F-Budgeted Income Statements'!G7</f>
        <v>0.8</v>
      </c>
      <c r="H14" s="68">
        <f>'F-Budgeted Balance Sheets'!H9/'F-Budgeted Income Statements'!H7</f>
        <v>0.8</v>
      </c>
      <c r="I14" s="68">
        <f>'F-Budgeted Balance Sheets'!I9/'F-Budgeted Income Statements'!I7</f>
        <v>0.8</v>
      </c>
      <c r="J14" s="68">
        <f>'F-Budgeted Balance Sheets'!J9/'F-Budgeted Income Statements'!J7</f>
        <v>0.8</v>
      </c>
      <c r="K14" s="68">
        <f>'F-Budgeted Balance Sheets'!K9/'F-Budgeted Income Statements'!K7</f>
        <v>0.8</v>
      </c>
      <c r="L14" s="68">
        <f>'F-Budgeted Balance Sheets'!L9/'F-Budgeted Income Statements'!L7</f>
        <v>0.8</v>
      </c>
      <c r="M14" s="68">
        <f>'F-Budgeted Balance Sheets'!M9/'F-Budgeted Income Statements'!M7</f>
        <v>0.8</v>
      </c>
    </row>
    <row r="15" spans="1:14" x14ac:dyDescent="0.25">
      <c r="A15" s="33" t="s">
        <v>174</v>
      </c>
      <c r="B15" s="68">
        <f>'Actual Balance Sheets'!B9/'Actual Income Statements'!B7</f>
        <v>0.82000000000000006</v>
      </c>
      <c r="C15" s="68">
        <f>'Actual Balance Sheets'!C9/'Actual Income Statements'!C7</f>
        <v>0.82</v>
      </c>
      <c r="D15" s="68">
        <f>'Actual Balance Sheets'!D9/'Actual Income Statements'!D7</f>
        <v>0.83</v>
      </c>
      <c r="E15" s="68">
        <f>'Actual Balance Sheets'!E9/'Actual Income Statements'!E7</f>
        <v>0.83</v>
      </c>
      <c r="F15" s="68">
        <f>'Actual Balance Sheets'!F9/'Actual Income Statements'!F7</f>
        <v>0.83499999999999996</v>
      </c>
      <c r="G15" s="68">
        <f>'Actual Balance Sheets'!G9/'Actual Income Statements'!G7</f>
        <v>0.83499999999999996</v>
      </c>
      <c r="H15" s="68">
        <f>'Actual Balance Sheets'!H9/'Actual Income Statements'!H7</f>
        <v>0.84</v>
      </c>
      <c r="I15" s="68">
        <f>'Actual Balance Sheets'!I9/'Actual Income Statements'!I7</f>
        <v>0.84</v>
      </c>
      <c r="J15" s="68">
        <f>'Actual Balance Sheets'!J9/'Actual Income Statements'!J7</f>
        <v>0.84</v>
      </c>
      <c r="K15" s="68">
        <f>'Actual Balance Sheets'!K9/'Actual Income Statements'!K7</f>
        <v>0.83</v>
      </c>
      <c r="L15" s="68">
        <f>'Actual Balance Sheets'!L9/'Actual Income Statements'!L7</f>
        <v>0.82</v>
      </c>
      <c r="M15" s="68">
        <f>'Actual Balance Sheets'!M9/'Actual Income Statements'!M7</f>
        <v>0.82499999999999996</v>
      </c>
    </row>
    <row r="16" spans="1:14" x14ac:dyDescent="0.25">
      <c r="B16" s="67"/>
      <c r="C16" s="67"/>
    </row>
    <row r="17" spans="1:14" x14ac:dyDescent="0.25">
      <c r="B17" s="67"/>
      <c r="C17" s="67"/>
    </row>
    <row r="18" spans="1:14" x14ac:dyDescent="0.25">
      <c r="A18" s="33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</row>
    <row r="19" spans="1:14" x14ac:dyDescent="0.25">
      <c r="A19" s="33"/>
      <c r="B19" s="35"/>
      <c r="C19" s="35"/>
    </row>
    <row r="20" spans="1:14" x14ac:dyDescent="0.25">
      <c r="A20" s="33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1:14" ht="15" x14ac:dyDescent="0.4">
      <c r="A21" s="33"/>
      <c r="B21" s="71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</row>
    <row r="22" spans="1:14" x14ac:dyDescent="0.25">
      <c r="A22" s="33"/>
      <c r="B22" s="35"/>
      <c r="C22" s="35"/>
    </row>
    <row r="23" spans="1:14" x14ac:dyDescent="0.25">
      <c r="B23" s="35"/>
      <c r="C23" s="35"/>
    </row>
    <row r="24" spans="1:14" x14ac:dyDescent="0.25">
      <c r="B24" s="35"/>
      <c r="C24" s="35"/>
    </row>
    <row r="25" spans="1:14" x14ac:dyDescent="0.25">
      <c r="B25" s="35"/>
      <c r="C25" s="35"/>
    </row>
    <row r="26" spans="1:14" x14ac:dyDescent="0.25">
      <c r="B26" s="35"/>
      <c r="C26" s="35"/>
    </row>
    <row r="27" spans="1:14" x14ac:dyDescent="0.25"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</row>
    <row r="28" spans="1:14" x14ac:dyDescent="0.25">
      <c r="B28" s="35"/>
      <c r="C28" s="35"/>
    </row>
    <row r="29" spans="1:14" x14ac:dyDescent="0.25">
      <c r="B29" s="35"/>
      <c r="C29" s="35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7"/>
    </row>
    <row r="30" spans="1:14" x14ac:dyDescent="0.25">
      <c r="N30" s="67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0E00F-99FB-4ACE-A9B1-9D638EA69497}">
  <dimension ref="A1:A10"/>
  <sheetViews>
    <sheetView zoomScaleNormal="100" workbookViewId="0">
      <selection sqref="A1:XFD1"/>
    </sheetView>
  </sheetViews>
  <sheetFormatPr defaultColWidth="9.109375" defaultRowHeight="14.4" x14ac:dyDescent="0.3"/>
  <cols>
    <col min="1" max="16384" width="9.109375" style="75"/>
  </cols>
  <sheetData>
    <row r="1" spans="1:1" ht="17.399999999999999" x14ac:dyDescent="0.3">
      <c r="A1" s="74"/>
    </row>
    <row r="2" spans="1:1" ht="18" x14ac:dyDescent="0.3">
      <c r="A2" s="76"/>
    </row>
    <row r="3" spans="1:1" ht="18" x14ac:dyDescent="0.3">
      <c r="A3" s="76"/>
    </row>
    <row r="4" spans="1:1" ht="18" x14ac:dyDescent="0.3">
      <c r="A4" s="76"/>
    </row>
    <row r="5" spans="1:1" ht="18" x14ac:dyDescent="0.3">
      <c r="A5" s="76"/>
    </row>
    <row r="6" spans="1:1" ht="17.399999999999999" x14ac:dyDescent="0.3">
      <c r="A6" s="74"/>
    </row>
    <row r="7" spans="1:1" ht="18" x14ac:dyDescent="0.3">
      <c r="A7" s="76"/>
    </row>
    <row r="8" spans="1:1" ht="17.399999999999999" x14ac:dyDescent="0.3">
      <c r="A8" s="77"/>
    </row>
    <row r="9" spans="1:1" ht="17.399999999999999" x14ac:dyDescent="0.3">
      <c r="A9" s="78"/>
    </row>
    <row r="10" spans="1:1" ht="17.399999999999999" x14ac:dyDescent="0.3">
      <c r="A10" s="79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  <pageSetUpPr fitToPage="1"/>
  </sheetPr>
  <dimension ref="A1:O29"/>
  <sheetViews>
    <sheetView topLeftCell="B2" zoomScaleNormal="100" workbookViewId="0">
      <selection activeCell="O7" sqref="O7"/>
    </sheetView>
  </sheetViews>
  <sheetFormatPr defaultRowHeight="13.2" x14ac:dyDescent="0.25"/>
  <cols>
    <col min="1" max="1" width="90.33203125" bestFit="1" customWidth="1"/>
    <col min="2" max="2" width="12.5546875" customWidth="1"/>
    <col min="3" max="15" width="13.44140625" customWidth="1"/>
  </cols>
  <sheetData>
    <row r="1" spans="1:15" ht="15.6" x14ac:dyDescent="0.3">
      <c r="A1" s="80" t="s">
        <v>77</v>
      </c>
      <c r="B1" s="80"/>
      <c r="C1" s="80"/>
      <c r="D1" s="80"/>
      <c r="E1" s="80"/>
      <c r="F1" s="80"/>
      <c r="G1" s="17"/>
      <c r="K1" s="17"/>
      <c r="L1" s="17"/>
    </row>
    <row r="2" spans="1:15" ht="15.6" x14ac:dyDescent="0.3">
      <c r="A2" s="80" t="s">
        <v>141</v>
      </c>
      <c r="B2" s="80"/>
      <c r="C2" s="80"/>
      <c r="D2" s="80"/>
      <c r="E2" s="80"/>
      <c r="F2" s="80"/>
      <c r="G2" s="17"/>
      <c r="K2" s="17"/>
      <c r="L2" s="17"/>
    </row>
    <row r="3" spans="1:15" ht="15.6" x14ac:dyDescent="0.3">
      <c r="A3" s="80" t="s">
        <v>95</v>
      </c>
      <c r="B3" s="80"/>
      <c r="C3" s="80"/>
      <c r="D3" s="80"/>
      <c r="E3" s="80"/>
      <c r="F3" s="80"/>
      <c r="G3" s="17"/>
      <c r="K3" s="17"/>
      <c r="L3" s="17"/>
    </row>
    <row r="4" spans="1:15" ht="17.399999999999999" x14ac:dyDescent="0.3">
      <c r="A4" s="1"/>
      <c r="B4" s="83" t="s">
        <v>44</v>
      </c>
      <c r="C4" s="83"/>
      <c r="D4" s="83"/>
      <c r="E4" s="83"/>
      <c r="F4" s="83"/>
      <c r="G4" s="37" t="s">
        <v>44</v>
      </c>
    </row>
    <row r="5" spans="1:15" ht="31.2" x14ac:dyDescent="0.3">
      <c r="A5" s="1"/>
      <c r="B5" s="27" t="s">
        <v>79</v>
      </c>
      <c r="C5" s="2" t="s">
        <v>80</v>
      </c>
      <c r="D5" s="2" t="s">
        <v>81</v>
      </c>
      <c r="E5" s="2" t="s">
        <v>82</v>
      </c>
      <c r="F5" s="2" t="s">
        <v>83</v>
      </c>
      <c r="G5" s="36" t="s">
        <v>84</v>
      </c>
      <c r="H5" s="2" t="s">
        <v>85</v>
      </c>
      <c r="I5" s="2" t="s">
        <v>86</v>
      </c>
      <c r="J5" s="2" t="s">
        <v>87</v>
      </c>
      <c r="K5" s="2" t="s">
        <v>88</v>
      </c>
      <c r="L5" s="2" t="s">
        <v>89</v>
      </c>
      <c r="M5" s="2" t="s">
        <v>90</v>
      </c>
      <c r="N5" s="2" t="s">
        <v>91</v>
      </c>
    </row>
    <row r="6" spans="1:15" ht="15.6" x14ac:dyDescent="0.3">
      <c r="A6" s="23" t="s">
        <v>96</v>
      </c>
      <c r="B6" s="2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" t="s">
        <v>44</v>
      </c>
    </row>
    <row r="7" spans="1:15" ht="15" x14ac:dyDescent="0.25">
      <c r="A7" s="1" t="s">
        <v>71</v>
      </c>
      <c r="B7" s="1"/>
      <c r="C7" s="25">
        <v>900</v>
      </c>
      <c r="D7" s="25">
        <v>700</v>
      </c>
      <c r="E7" s="25">
        <v>1000</v>
      </c>
      <c r="F7" s="25">
        <v>1100</v>
      </c>
      <c r="G7" s="25">
        <v>1400</v>
      </c>
      <c r="H7" s="25">
        <v>2500</v>
      </c>
      <c r="I7" s="25">
        <v>3000</v>
      </c>
      <c r="J7" s="25">
        <v>3200</v>
      </c>
      <c r="K7" s="25">
        <v>2100</v>
      </c>
      <c r="L7" s="25">
        <v>1600</v>
      </c>
      <c r="M7" s="25">
        <v>1500</v>
      </c>
      <c r="N7" s="25">
        <v>1100</v>
      </c>
      <c r="O7" s="72" t="s">
        <v>44</v>
      </c>
    </row>
    <row r="8" spans="1:15" ht="15" x14ac:dyDescent="0.25">
      <c r="A8" s="1" t="s">
        <v>69</v>
      </c>
      <c r="B8" s="28">
        <v>90</v>
      </c>
      <c r="C8" s="28"/>
      <c r="D8" s="28"/>
      <c r="E8" s="28"/>
      <c r="F8" s="28"/>
      <c r="G8" s="1"/>
      <c r="H8" s="1"/>
      <c r="I8" s="1"/>
      <c r="J8" s="1"/>
      <c r="K8" s="1"/>
      <c r="L8" s="1"/>
      <c r="M8" s="1"/>
      <c r="N8" s="1"/>
    </row>
    <row r="9" spans="1:15" ht="15" x14ac:dyDescent="0.25">
      <c r="A9" s="1" t="s">
        <v>93</v>
      </c>
      <c r="B9" s="29">
        <v>0.2</v>
      </c>
      <c r="C9" s="29"/>
      <c r="D9" s="29"/>
      <c r="E9" s="29"/>
      <c r="F9" s="29"/>
      <c r="G9" s="1"/>
      <c r="H9" s="1"/>
      <c r="I9" s="1"/>
      <c r="J9" s="1"/>
      <c r="K9" s="1"/>
      <c r="L9" s="1"/>
      <c r="M9" s="1"/>
      <c r="N9" s="1"/>
    </row>
    <row r="10" spans="1:15" ht="15" x14ac:dyDescent="0.25">
      <c r="A10" s="1" t="s">
        <v>94</v>
      </c>
      <c r="B10" s="29">
        <v>0.8</v>
      </c>
      <c r="C10" s="29"/>
      <c r="D10" s="29"/>
      <c r="E10" s="29"/>
      <c r="F10" s="29"/>
      <c r="G10" s="1"/>
      <c r="H10" s="1"/>
      <c r="I10" s="1"/>
      <c r="J10" s="1"/>
      <c r="K10" s="1"/>
      <c r="L10" s="1"/>
      <c r="M10" s="1"/>
      <c r="N10" s="1"/>
    </row>
    <row r="11" spans="1:15" ht="1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5" ht="15.6" x14ac:dyDescent="0.3">
      <c r="A12" s="23" t="s">
        <v>97</v>
      </c>
      <c r="B12" s="23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5" ht="15" x14ac:dyDescent="0.25">
      <c r="A13" s="1" t="s">
        <v>103</v>
      </c>
      <c r="B13" s="39">
        <v>0.55000000000000004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5" ht="15" x14ac:dyDescent="0.25">
      <c r="A14" s="1" t="s">
        <v>102</v>
      </c>
      <c r="B14" s="29">
        <v>0.25</v>
      </c>
      <c r="C14" s="29"/>
      <c r="D14" s="29"/>
      <c r="E14" s="29"/>
      <c r="F14" s="29"/>
      <c r="G14" s="1"/>
      <c r="H14" s="1"/>
      <c r="I14" s="1"/>
      <c r="J14" s="1"/>
      <c r="K14" s="1"/>
      <c r="L14" s="1"/>
      <c r="M14" s="1"/>
      <c r="N14" s="1"/>
    </row>
    <row r="15" spans="1:15" ht="15" x14ac:dyDescent="0.25">
      <c r="A15" s="1" t="s">
        <v>104</v>
      </c>
      <c r="B15" s="29">
        <v>0.15</v>
      </c>
      <c r="C15" s="29"/>
      <c r="D15" s="29"/>
      <c r="E15" s="29"/>
      <c r="F15" s="29"/>
      <c r="G15" s="1"/>
      <c r="H15" s="1"/>
      <c r="I15" s="1"/>
      <c r="J15" s="1"/>
      <c r="K15" s="1"/>
      <c r="L15" s="1"/>
      <c r="M15" s="1"/>
      <c r="N15" s="1"/>
    </row>
    <row r="16" spans="1:15" ht="15" x14ac:dyDescent="0.25">
      <c r="A16" s="1" t="s">
        <v>105</v>
      </c>
      <c r="B16" s="29">
        <v>0.85</v>
      </c>
      <c r="C16" s="29"/>
      <c r="D16" s="29"/>
      <c r="E16" s="29"/>
      <c r="F16" s="29"/>
      <c r="G16" s="1"/>
      <c r="H16" s="1"/>
      <c r="I16" s="1"/>
      <c r="J16" s="1"/>
      <c r="K16" s="1"/>
      <c r="L16" s="1"/>
      <c r="M16" s="1"/>
      <c r="N16" s="1"/>
    </row>
    <row r="17" spans="1:14" ht="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15.6" x14ac:dyDescent="0.3">
      <c r="A18" s="23" t="s">
        <v>98</v>
      </c>
      <c r="B18" s="23"/>
      <c r="C18" s="28"/>
      <c r="D18" s="28"/>
      <c r="E18" s="28"/>
      <c r="F18" s="28"/>
      <c r="G18" s="1"/>
      <c r="H18" s="1"/>
      <c r="I18" s="1"/>
      <c r="J18" s="1"/>
      <c r="K18" s="1"/>
      <c r="L18" s="1"/>
      <c r="M18" s="1"/>
      <c r="N18" s="1"/>
    </row>
    <row r="19" spans="1:14" ht="15" x14ac:dyDescent="0.25">
      <c r="A19" s="1" t="s">
        <v>72</v>
      </c>
      <c r="B19" s="28">
        <v>8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ht="15" x14ac:dyDescent="0.25">
      <c r="A20" s="1" t="s">
        <v>92</v>
      </c>
      <c r="B20" s="1"/>
      <c r="C20" s="18"/>
      <c r="D20" s="18"/>
      <c r="E20" s="18"/>
      <c r="F20" s="18"/>
      <c r="G20" s="1"/>
      <c r="H20" s="1"/>
      <c r="I20" s="1"/>
      <c r="J20" s="1"/>
      <c r="K20" s="1"/>
      <c r="L20" s="1"/>
      <c r="M20" s="1"/>
      <c r="N20" s="1"/>
    </row>
    <row r="21" spans="1:14" ht="15" x14ac:dyDescent="0.25">
      <c r="A21" s="1" t="s">
        <v>30</v>
      </c>
      <c r="B21" s="18">
        <v>15000</v>
      </c>
      <c r="C21" s="18"/>
      <c r="D21" s="18"/>
      <c r="E21" s="18"/>
      <c r="F21" s="18"/>
      <c r="G21" s="1"/>
      <c r="H21" s="1"/>
      <c r="I21" s="1"/>
      <c r="J21" s="1"/>
      <c r="K21" s="1"/>
      <c r="L21" s="1"/>
      <c r="M21" s="1"/>
      <c r="N21" s="1"/>
    </row>
    <row r="22" spans="1:14" ht="15" x14ac:dyDescent="0.25">
      <c r="A22" s="1" t="s">
        <v>31</v>
      </c>
      <c r="B22" s="18">
        <v>20000</v>
      </c>
      <c r="C22" s="18"/>
      <c r="D22" s="18"/>
      <c r="E22" s="18"/>
      <c r="F22" s="18"/>
      <c r="G22" s="1"/>
      <c r="H22" s="1"/>
      <c r="I22" s="1"/>
      <c r="J22" s="1"/>
      <c r="K22" s="1"/>
      <c r="L22" s="1"/>
      <c r="M22" s="1"/>
      <c r="N22" s="1"/>
    </row>
    <row r="23" spans="1:14" ht="15" x14ac:dyDescent="0.25">
      <c r="A23" s="1" t="s">
        <v>20</v>
      </c>
      <c r="B23" s="18">
        <v>6000</v>
      </c>
      <c r="C23" s="18"/>
      <c r="D23" s="18"/>
      <c r="E23" s="18"/>
      <c r="F23" s="18"/>
      <c r="G23" s="1"/>
      <c r="H23" s="1"/>
      <c r="I23" s="1"/>
      <c r="J23" s="1"/>
      <c r="K23" s="1"/>
      <c r="L23" s="1"/>
      <c r="M23" s="1"/>
      <c r="N23" s="1"/>
    </row>
    <row r="24" spans="1:14" ht="15" x14ac:dyDescent="0.25">
      <c r="A24" s="1" t="s">
        <v>45</v>
      </c>
      <c r="B24" s="18">
        <v>5000</v>
      </c>
      <c r="C24" s="18"/>
      <c r="D24" s="18"/>
      <c r="E24" s="18"/>
      <c r="F24" s="18"/>
      <c r="G24" s="1"/>
      <c r="H24" s="1"/>
      <c r="I24" s="1"/>
      <c r="J24" s="1"/>
      <c r="K24" s="1"/>
      <c r="L24" s="1"/>
      <c r="M24" s="1"/>
      <c r="N24" s="1"/>
    </row>
    <row r="25" spans="1:14" ht="15" x14ac:dyDescent="0.25">
      <c r="A25" s="1" t="s">
        <v>32</v>
      </c>
      <c r="B25" s="18">
        <v>8000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ht="15.6" x14ac:dyDescent="0.3">
      <c r="A27" s="23" t="s">
        <v>33</v>
      </c>
      <c r="B27" s="23"/>
      <c r="C27" s="18"/>
      <c r="D27" s="18"/>
      <c r="E27" s="18"/>
      <c r="F27" s="18"/>
      <c r="G27" s="1"/>
      <c r="H27" s="1"/>
      <c r="I27" s="1"/>
      <c r="J27" s="1"/>
      <c r="K27" s="1"/>
      <c r="L27" s="1"/>
      <c r="M27" s="1"/>
      <c r="N27" s="1"/>
    </row>
    <row r="28" spans="1:14" ht="15" x14ac:dyDescent="0.25">
      <c r="A28" s="1" t="s">
        <v>54</v>
      </c>
      <c r="B28" s="18">
        <v>30000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ht="15" x14ac:dyDescent="0.25">
      <c r="A29" s="1" t="s">
        <v>116</v>
      </c>
      <c r="B29" s="29">
        <v>0.01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</sheetData>
  <mergeCells count="4">
    <mergeCell ref="A1:F1"/>
    <mergeCell ref="A2:F2"/>
    <mergeCell ref="A3:F3"/>
    <mergeCell ref="B4:F4"/>
  </mergeCells>
  <printOptions gridLines="1"/>
  <pageMargins left="0.7" right="0.7" top="0.75" bottom="0.75" header="0.3" footer="0.3"/>
  <pageSetup scale="6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  <pageSetUpPr fitToPage="1"/>
  </sheetPr>
  <dimension ref="A1:O29"/>
  <sheetViews>
    <sheetView zoomScaleNormal="100" workbookViewId="0">
      <selection sqref="A1:F1"/>
    </sheetView>
  </sheetViews>
  <sheetFormatPr defaultRowHeight="13.2" x14ac:dyDescent="0.25"/>
  <cols>
    <col min="1" max="1" width="90.33203125" bestFit="1" customWidth="1"/>
    <col min="2" max="2" width="12.5546875" customWidth="1"/>
    <col min="3" max="15" width="13.44140625" customWidth="1"/>
  </cols>
  <sheetData>
    <row r="1" spans="1:15" ht="15.6" x14ac:dyDescent="0.3">
      <c r="A1" s="80" t="s">
        <v>77</v>
      </c>
      <c r="B1" s="80"/>
      <c r="C1" s="80"/>
      <c r="D1" s="80"/>
      <c r="E1" s="80"/>
      <c r="F1" s="80"/>
      <c r="G1" s="17"/>
      <c r="K1" s="17"/>
      <c r="L1" s="17"/>
    </row>
    <row r="2" spans="1:15" ht="15.6" x14ac:dyDescent="0.3">
      <c r="A2" s="80" t="s">
        <v>177</v>
      </c>
      <c r="B2" s="80"/>
      <c r="C2" s="80"/>
      <c r="D2" s="80"/>
      <c r="E2" s="80"/>
      <c r="F2" s="80"/>
      <c r="G2" s="17"/>
      <c r="K2" s="17"/>
      <c r="L2" s="17"/>
    </row>
    <row r="3" spans="1:15" ht="15.6" x14ac:dyDescent="0.3">
      <c r="A3" s="80" t="s">
        <v>95</v>
      </c>
      <c r="B3" s="80"/>
      <c r="C3" s="80"/>
      <c r="D3" s="80"/>
      <c r="E3" s="80"/>
      <c r="F3" s="80"/>
      <c r="G3" s="17"/>
      <c r="K3" s="17"/>
      <c r="L3" s="17"/>
    </row>
    <row r="4" spans="1:15" ht="17.399999999999999" x14ac:dyDescent="0.3">
      <c r="A4" s="1"/>
      <c r="B4" s="83" t="s">
        <v>44</v>
      </c>
      <c r="C4" s="83"/>
      <c r="D4" s="83"/>
      <c r="E4" s="83"/>
      <c r="F4" s="83"/>
      <c r="G4" s="37" t="s">
        <v>44</v>
      </c>
    </row>
    <row r="5" spans="1:15" ht="31.2" x14ac:dyDescent="0.3">
      <c r="A5" s="1"/>
      <c r="B5" s="27" t="s">
        <v>79</v>
      </c>
      <c r="C5" s="2" t="s">
        <v>80</v>
      </c>
      <c r="D5" s="2" t="s">
        <v>81</v>
      </c>
      <c r="E5" s="2" t="s">
        <v>82</v>
      </c>
      <c r="F5" s="2" t="s">
        <v>83</v>
      </c>
      <c r="G5" s="36" t="s">
        <v>84</v>
      </c>
      <c r="H5" s="2" t="s">
        <v>85</v>
      </c>
      <c r="I5" s="2" t="s">
        <v>86</v>
      </c>
      <c r="J5" s="2" t="s">
        <v>87</v>
      </c>
      <c r="K5" s="2" t="s">
        <v>88</v>
      </c>
      <c r="L5" s="2" t="s">
        <v>89</v>
      </c>
      <c r="M5" s="2" t="s">
        <v>90</v>
      </c>
      <c r="N5" s="2" t="s">
        <v>91</v>
      </c>
    </row>
    <row r="6" spans="1:15" ht="15.6" x14ac:dyDescent="0.3">
      <c r="A6" s="23" t="s">
        <v>140</v>
      </c>
      <c r="B6" s="2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" t="s">
        <v>44</v>
      </c>
    </row>
    <row r="7" spans="1:15" ht="15" x14ac:dyDescent="0.25">
      <c r="A7" s="1" t="s">
        <v>139</v>
      </c>
      <c r="B7" s="1"/>
      <c r="C7" s="25">
        <v>800</v>
      </c>
      <c r="D7" s="25">
        <v>600</v>
      </c>
      <c r="E7" s="25">
        <v>900</v>
      </c>
      <c r="F7" s="25">
        <v>1000</v>
      </c>
      <c r="G7" s="25">
        <v>1200</v>
      </c>
      <c r="H7" s="25">
        <v>2850</v>
      </c>
      <c r="I7" s="25">
        <v>3325</v>
      </c>
      <c r="J7" s="25">
        <v>3475</v>
      </c>
      <c r="K7" s="25">
        <v>2340</v>
      </c>
      <c r="L7" s="25">
        <v>1820</v>
      </c>
      <c r="M7" s="25">
        <v>1200</v>
      </c>
      <c r="N7" s="25">
        <v>900</v>
      </c>
      <c r="O7" s="72" t="s">
        <v>44</v>
      </c>
    </row>
    <row r="8" spans="1:15" ht="15" x14ac:dyDescent="0.25">
      <c r="A8" s="1" t="s">
        <v>69</v>
      </c>
      <c r="B8" s="28">
        <v>90</v>
      </c>
      <c r="C8" s="28"/>
      <c r="D8" s="28"/>
      <c r="E8" s="28"/>
      <c r="F8" s="28"/>
      <c r="G8" s="1"/>
      <c r="H8" s="1"/>
      <c r="I8" s="1"/>
      <c r="J8" s="1"/>
      <c r="K8" s="1"/>
      <c r="L8" s="1"/>
      <c r="M8" s="1"/>
      <c r="N8" s="1"/>
    </row>
    <row r="9" spans="1:15" ht="15" x14ac:dyDescent="0.25">
      <c r="A9" s="1" t="s">
        <v>93</v>
      </c>
      <c r="B9" s="29">
        <v>0.2</v>
      </c>
      <c r="C9" s="29"/>
      <c r="D9" s="29"/>
      <c r="E9" s="29"/>
      <c r="F9" s="29"/>
      <c r="G9" s="1"/>
      <c r="H9" s="1"/>
      <c r="I9" s="1"/>
      <c r="J9" s="1"/>
      <c r="K9" s="1"/>
      <c r="L9" s="1"/>
      <c r="M9" s="1"/>
      <c r="N9" s="1"/>
    </row>
    <row r="10" spans="1:15" ht="15" x14ac:dyDescent="0.25">
      <c r="A10" s="1" t="s">
        <v>94</v>
      </c>
      <c r="B10" s="29">
        <v>0.8</v>
      </c>
      <c r="C10" s="29"/>
      <c r="D10" s="29"/>
      <c r="E10" s="29"/>
      <c r="F10" s="29"/>
      <c r="G10" s="1"/>
      <c r="H10" s="1"/>
      <c r="I10" s="1"/>
      <c r="J10" s="1"/>
      <c r="K10" s="1"/>
      <c r="L10" s="1"/>
      <c r="M10" s="1"/>
      <c r="N10" s="1"/>
    </row>
    <row r="11" spans="1:15" ht="15" x14ac:dyDescent="0.25">
      <c r="A11" s="1"/>
      <c r="B11" s="1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5" ht="15.6" x14ac:dyDescent="0.3">
      <c r="A12" s="23" t="s">
        <v>97</v>
      </c>
      <c r="B12" s="23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5" ht="15" x14ac:dyDescent="0.25">
      <c r="A13" s="1" t="s">
        <v>103</v>
      </c>
      <c r="B13" s="39">
        <v>0.55000000000000004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5" ht="15" x14ac:dyDescent="0.25">
      <c r="A14" s="1" t="s">
        <v>102</v>
      </c>
      <c r="B14" s="29">
        <v>0.25</v>
      </c>
      <c r="C14" s="29"/>
      <c r="D14" s="29"/>
      <c r="E14" s="29"/>
      <c r="F14" s="29"/>
      <c r="G14" s="1"/>
      <c r="H14" s="1"/>
      <c r="I14" s="1"/>
      <c r="J14" s="1"/>
      <c r="K14" s="1"/>
      <c r="L14" s="1"/>
      <c r="M14" s="1"/>
      <c r="N14" s="1"/>
    </row>
    <row r="15" spans="1:15" ht="15" x14ac:dyDescent="0.25">
      <c r="A15" s="1" t="s">
        <v>104</v>
      </c>
      <c r="B15" s="29">
        <v>0.15</v>
      </c>
      <c r="C15" s="29"/>
      <c r="D15" s="29"/>
      <c r="E15" s="29"/>
      <c r="F15" s="29"/>
      <c r="G15" s="1"/>
      <c r="H15" s="1"/>
      <c r="I15" s="1"/>
      <c r="J15" s="1"/>
      <c r="K15" s="1"/>
      <c r="L15" s="1"/>
      <c r="M15" s="1"/>
      <c r="N15" s="1"/>
    </row>
    <row r="16" spans="1:15" ht="15" x14ac:dyDescent="0.25">
      <c r="A16" s="1" t="s">
        <v>105</v>
      </c>
      <c r="B16" s="29">
        <v>0.85</v>
      </c>
      <c r="C16" s="29"/>
      <c r="D16" s="29"/>
      <c r="E16" s="29"/>
      <c r="F16" s="29"/>
      <c r="G16" s="1"/>
      <c r="H16" s="1"/>
      <c r="I16" s="1"/>
      <c r="J16" s="1"/>
      <c r="K16" s="1"/>
      <c r="L16" s="1"/>
      <c r="M16" s="1"/>
      <c r="N16" s="1"/>
    </row>
    <row r="17" spans="1:14" ht="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15.6" x14ac:dyDescent="0.3">
      <c r="A18" s="23" t="s">
        <v>98</v>
      </c>
      <c r="B18" s="23"/>
      <c r="C18" s="28"/>
      <c r="D18" s="28"/>
      <c r="E18" s="28"/>
      <c r="F18" s="28"/>
      <c r="G18" s="1"/>
      <c r="H18" s="1"/>
      <c r="I18" s="1"/>
      <c r="J18" s="1"/>
      <c r="K18" s="1"/>
      <c r="L18" s="1"/>
      <c r="M18" s="1"/>
      <c r="N18" s="1"/>
    </row>
    <row r="19" spans="1:14" ht="15" x14ac:dyDescent="0.25">
      <c r="A19" s="1" t="s">
        <v>72</v>
      </c>
      <c r="B19" s="28">
        <v>8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ht="15" x14ac:dyDescent="0.25">
      <c r="A20" s="1" t="s">
        <v>92</v>
      </c>
      <c r="B20" s="1"/>
      <c r="C20" s="18"/>
      <c r="D20" s="18"/>
      <c r="E20" s="18"/>
      <c r="F20" s="18"/>
      <c r="G20" s="1"/>
      <c r="H20" s="1"/>
      <c r="I20" s="1"/>
      <c r="J20" s="1"/>
      <c r="K20" s="1"/>
      <c r="L20" s="1"/>
      <c r="M20" s="1"/>
      <c r="N20" s="1"/>
    </row>
    <row r="21" spans="1:14" ht="15" x14ac:dyDescent="0.25">
      <c r="A21" s="1" t="s">
        <v>30</v>
      </c>
      <c r="B21" s="18">
        <v>15000</v>
      </c>
      <c r="C21" s="18"/>
      <c r="D21" s="18"/>
      <c r="E21" s="18"/>
      <c r="F21" s="18"/>
      <c r="G21" s="1"/>
      <c r="H21" s="1"/>
      <c r="I21" s="1"/>
      <c r="J21" s="1"/>
      <c r="K21" s="1"/>
      <c r="L21" s="1"/>
      <c r="M21" s="1"/>
      <c r="N21" s="1"/>
    </row>
    <row r="22" spans="1:14" ht="15" x14ac:dyDescent="0.25">
      <c r="A22" s="1" t="s">
        <v>31</v>
      </c>
      <c r="B22" s="18">
        <v>20000</v>
      </c>
      <c r="C22" s="18"/>
      <c r="D22" s="18"/>
      <c r="E22" s="18"/>
      <c r="F22" s="18"/>
      <c r="G22" s="1"/>
      <c r="H22" s="1"/>
      <c r="I22" s="1"/>
      <c r="J22" s="1"/>
      <c r="K22" s="1"/>
      <c r="L22" s="1"/>
      <c r="M22" s="1"/>
      <c r="N22" s="1"/>
    </row>
    <row r="23" spans="1:14" ht="15" x14ac:dyDescent="0.25">
      <c r="A23" s="1" t="s">
        <v>20</v>
      </c>
      <c r="B23" s="18">
        <v>6000</v>
      </c>
      <c r="C23" s="18"/>
      <c r="D23" s="18"/>
      <c r="E23" s="18"/>
      <c r="F23" s="18"/>
      <c r="G23" s="1"/>
      <c r="H23" s="1"/>
      <c r="I23" s="1"/>
      <c r="J23" s="1"/>
      <c r="K23" s="1"/>
      <c r="L23" s="1"/>
      <c r="M23" s="1"/>
      <c r="N23" s="1"/>
    </row>
    <row r="24" spans="1:14" ht="15" x14ac:dyDescent="0.25">
      <c r="A24" s="1" t="s">
        <v>45</v>
      </c>
      <c r="B24" s="18">
        <v>5000</v>
      </c>
      <c r="C24" s="18"/>
      <c r="D24" s="18"/>
      <c r="E24" s="18"/>
      <c r="F24" s="18"/>
      <c r="G24" s="1"/>
      <c r="H24" s="1"/>
      <c r="I24" s="1"/>
      <c r="J24" s="1"/>
      <c r="K24" s="1"/>
      <c r="L24" s="1"/>
      <c r="M24" s="1"/>
      <c r="N24" s="1"/>
    </row>
    <row r="25" spans="1:14" ht="15" x14ac:dyDescent="0.25">
      <c r="A25" s="1" t="s">
        <v>32</v>
      </c>
      <c r="B25" s="18">
        <v>8000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ht="15.6" x14ac:dyDescent="0.3">
      <c r="A27" s="23" t="s">
        <v>33</v>
      </c>
      <c r="B27" s="23"/>
      <c r="C27" s="18"/>
      <c r="D27" s="18"/>
      <c r="E27" s="18"/>
      <c r="F27" s="18"/>
      <c r="G27" s="1"/>
      <c r="H27" s="1"/>
      <c r="I27" s="1"/>
      <c r="J27" s="1"/>
      <c r="K27" s="1"/>
      <c r="L27" s="1"/>
      <c r="M27" s="1"/>
      <c r="N27" s="1"/>
    </row>
    <row r="28" spans="1:14" ht="15" x14ac:dyDescent="0.25">
      <c r="A28" s="1" t="s">
        <v>54</v>
      </c>
      <c r="B28" s="18">
        <v>30000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ht="15" x14ac:dyDescent="0.25">
      <c r="A29" s="1" t="s">
        <v>116</v>
      </c>
      <c r="B29" s="29">
        <v>0.01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</sheetData>
  <mergeCells count="4">
    <mergeCell ref="A1:F1"/>
    <mergeCell ref="A2:F2"/>
    <mergeCell ref="A3:F3"/>
    <mergeCell ref="B4:F4"/>
  </mergeCells>
  <printOptions gridLines="1"/>
  <pageMargins left="0.7" right="0.7" top="0.75" bottom="0.75" header="0.3" footer="0.3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tabColor theme="8" tint="0.39997558519241921"/>
  </sheetPr>
  <dimension ref="A1:N20"/>
  <sheetViews>
    <sheetView workbookViewId="0">
      <selection activeCell="E20" sqref="E20"/>
    </sheetView>
  </sheetViews>
  <sheetFormatPr defaultRowHeight="13.2" x14ac:dyDescent="0.25"/>
  <cols>
    <col min="1" max="1" width="45" bestFit="1" customWidth="1"/>
    <col min="2" max="2" width="14.44140625" bestFit="1" customWidth="1"/>
    <col min="3" max="3" width="15" customWidth="1"/>
    <col min="4" max="4" width="15.109375" bestFit="1" customWidth="1"/>
    <col min="5" max="5" width="14.33203125" bestFit="1" customWidth="1"/>
    <col min="6" max="6" width="15.5546875" bestFit="1" customWidth="1"/>
    <col min="7" max="13" width="15" customWidth="1"/>
    <col min="14" max="14" width="17.5546875" bestFit="1" customWidth="1"/>
  </cols>
  <sheetData>
    <row r="1" spans="1:14" ht="15.6" x14ac:dyDescent="0.3">
      <c r="A1" s="80" t="s">
        <v>77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ht="15.6" x14ac:dyDescent="0.3">
      <c r="A2" s="80" t="s">
        <v>142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ht="15.6" x14ac:dyDescent="0.3">
      <c r="A3" s="80" t="s">
        <v>95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4" ht="15.6" x14ac:dyDescent="0.3">
      <c r="A4" s="17"/>
      <c r="B4" s="17"/>
      <c r="C4" s="17"/>
      <c r="D4" s="17"/>
      <c r="E4" s="17"/>
      <c r="F4" s="17"/>
    </row>
    <row r="5" spans="1:14" ht="15.6" x14ac:dyDescent="0.3">
      <c r="A5" s="1"/>
      <c r="B5" s="2" t="s">
        <v>80</v>
      </c>
      <c r="C5" s="2" t="s">
        <v>81</v>
      </c>
      <c r="D5" s="2" t="s">
        <v>82</v>
      </c>
      <c r="E5" s="2" t="s">
        <v>83</v>
      </c>
      <c r="F5" s="2" t="s">
        <v>99</v>
      </c>
      <c r="G5" s="2" t="s">
        <v>85</v>
      </c>
      <c r="H5" s="2" t="s">
        <v>86</v>
      </c>
      <c r="I5" s="2" t="s">
        <v>87</v>
      </c>
      <c r="J5" s="2" t="s">
        <v>88</v>
      </c>
      <c r="K5" s="2" t="s">
        <v>89</v>
      </c>
      <c r="L5" s="2" t="s">
        <v>90</v>
      </c>
      <c r="M5" s="2" t="s">
        <v>91</v>
      </c>
      <c r="N5" s="2" t="s">
        <v>53</v>
      </c>
    </row>
    <row r="6" spans="1:14" ht="15" x14ac:dyDescent="0.25">
      <c r="A6" s="1" t="s">
        <v>71</v>
      </c>
      <c r="B6" s="3">
        <f>'M-Budgeting Assumptions'!C7</f>
        <v>900</v>
      </c>
      <c r="C6" s="3">
        <f>'M-Budgeting Assumptions'!D7</f>
        <v>700</v>
      </c>
      <c r="D6" s="3">
        <f>'M-Budgeting Assumptions'!E7</f>
        <v>1000</v>
      </c>
      <c r="E6" s="3">
        <f>'M-Budgeting Assumptions'!F7</f>
        <v>1100</v>
      </c>
      <c r="F6" s="3">
        <f>'M-Budgeting Assumptions'!G7</f>
        <v>1400</v>
      </c>
      <c r="G6" s="3">
        <f>'M-Budgeting Assumptions'!H7</f>
        <v>2500</v>
      </c>
      <c r="H6" s="3">
        <f>'M-Budgeting Assumptions'!I7</f>
        <v>3000</v>
      </c>
      <c r="I6" s="3">
        <f>'M-Budgeting Assumptions'!J7</f>
        <v>3200</v>
      </c>
      <c r="J6" s="3">
        <f>'M-Budgeting Assumptions'!K7</f>
        <v>2100</v>
      </c>
      <c r="K6" s="3">
        <f>'M-Budgeting Assumptions'!L7</f>
        <v>1600</v>
      </c>
      <c r="L6" s="3">
        <f>'M-Budgeting Assumptions'!M7</f>
        <v>1500</v>
      </c>
      <c r="M6" s="3">
        <f>'M-Budgeting Assumptions'!N7</f>
        <v>1100</v>
      </c>
      <c r="N6" s="3">
        <f>SUM(B6:M6)</f>
        <v>20100</v>
      </c>
    </row>
    <row r="7" spans="1:14" ht="16.8" x14ac:dyDescent="0.4">
      <c r="A7" s="1" t="s">
        <v>69</v>
      </c>
      <c r="B7" s="12">
        <f>+'M-Budgeting Assumptions'!$B$8</f>
        <v>90</v>
      </c>
      <c r="C7" s="12">
        <f>+'M-Budgeting Assumptions'!$B$8</f>
        <v>90</v>
      </c>
      <c r="D7" s="12">
        <f>+'M-Budgeting Assumptions'!$B$8</f>
        <v>90</v>
      </c>
      <c r="E7" s="12">
        <f>+'M-Budgeting Assumptions'!$B$8</f>
        <v>90</v>
      </c>
      <c r="F7" s="12">
        <f>+'M-Budgeting Assumptions'!$B$8</f>
        <v>90</v>
      </c>
      <c r="G7" s="12">
        <f>+'M-Budgeting Assumptions'!$B$8</f>
        <v>90</v>
      </c>
      <c r="H7" s="12">
        <f>+'M-Budgeting Assumptions'!$B$8</f>
        <v>90</v>
      </c>
      <c r="I7" s="12">
        <f>+'M-Budgeting Assumptions'!$B$8</f>
        <v>90</v>
      </c>
      <c r="J7" s="12">
        <f>+'M-Budgeting Assumptions'!$B$8</f>
        <v>90</v>
      </c>
      <c r="K7" s="12">
        <f>+'M-Budgeting Assumptions'!$B$8</f>
        <v>90</v>
      </c>
      <c r="L7" s="12">
        <f>+'M-Budgeting Assumptions'!$B$8</f>
        <v>90</v>
      </c>
      <c r="M7" s="12">
        <f>+'M-Budgeting Assumptions'!$B$8</f>
        <v>90</v>
      </c>
      <c r="N7" s="12">
        <v>90</v>
      </c>
    </row>
    <row r="8" spans="1:14" ht="16.8" x14ac:dyDescent="0.4">
      <c r="A8" s="15" t="s">
        <v>0</v>
      </c>
      <c r="B8" s="4">
        <f>B6*B7</f>
        <v>81000</v>
      </c>
      <c r="C8" s="4">
        <f>C6*C7</f>
        <v>63000</v>
      </c>
      <c r="D8" s="4">
        <f>D6*D7</f>
        <v>90000</v>
      </c>
      <c r="E8" s="4">
        <f>E6*E7</f>
        <v>99000</v>
      </c>
      <c r="F8" s="4">
        <f>F6*F7</f>
        <v>126000</v>
      </c>
      <c r="G8" s="4">
        <f t="shared" ref="G8:N8" si="0">G6*G7</f>
        <v>225000</v>
      </c>
      <c r="H8" s="4">
        <f t="shared" si="0"/>
        <v>270000</v>
      </c>
      <c r="I8" s="4">
        <f t="shared" si="0"/>
        <v>288000</v>
      </c>
      <c r="J8" s="4">
        <f t="shared" si="0"/>
        <v>189000</v>
      </c>
      <c r="K8" s="4">
        <f t="shared" si="0"/>
        <v>144000</v>
      </c>
      <c r="L8" s="4">
        <f t="shared" si="0"/>
        <v>135000</v>
      </c>
      <c r="M8" s="4">
        <f t="shared" si="0"/>
        <v>99000</v>
      </c>
      <c r="N8" s="4">
        <f t="shared" si="0"/>
        <v>1809000</v>
      </c>
    </row>
    <row r="9" spans="1:14" ht="16.8" x14ac:dyDescent="0.4">
      <c r="A9" s="15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4" ht="15" x14ac:dyDescent="0.25">
      <c r="A10" s="1"/>
      <c r="B10" s="1"/>
      <c r="C10" s="1"/>
      <c r="D10" s="1"/>
      <c r="E10" s="1"/>
      <c r="F10" s="1"/>
    </row>
    <row r="11" spans="1:14" ht="15.6" x14ac:dyDescent="0.3">
      <c r="A11" s="80" t="s">
        <v>16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</row>
    <row r="12" spans="1:14" ht="15.6" x14ac:dyDescent="0.3">
      <c r="A12" s="15"/>
      <c r="B12" s="2" t="s">
        <v>80</v>
      </c>
      <c r="C12" s="2" t="s">
        <v>81</v>
      </c>
      <c r="D12" s="2" t="s">
        <v>82</v>
      </c>
      <c r="E12" s="2" t="s">
        <v>83</v>
      </c>
      <c r="F12" s="2" t="s">
        <v>99</v>
      </c>
      <c r="G12" s="2" t="s">
        <v>85</v>
      </c>
      <c r="H12" s="2" t="s">
        <v>86</v>
      </c>
      <c r="I12" s="2" t="s">
        <v>87</v>
      </c>
      <c r="J12" s="2" t="s">
        <v>88</v>
      </c>
      <c r="K12" s="2" t="s">
        <v>89</v>
      </c>
      <c r="L12" s="2" t="s">
        <v>90</v>
      </c>
      <c r="M12" s="2" t="s">
        <v>91</v>
      </c>
    </row>
    <row r="13" spans="1:14" ht="15" x14ac:dyDescent="0.25">
      <c r="A13" s="1" t="s">
        <v>100</v>
      </c>
      <c r="B13" s="5">
        <f>'Beginning Balance Sheet'!B8</f>
        <v>80000</v>
      </c>
      <c r="C13" s="7">
        <f>B8*'M-Budgeting Assumptions'!$B$10</f>
        <v>64800</v>
      </c>
      <c r="D13" s="7">
        <f>C8*'M-Budgeting Assumptions'!$B$10</f>
        <v>50400</v>
      </c>
      <c r="E13" s="7">
        <f>D8*'M-Budgeting Assumptions'!$B$10</f>
        <v>72000</v>
      </c>
      <c r="F13" s="7">
        <f>E8*'M-Budgeting Assumptions'!$B$10</f>
        <v>79200</v>
      </c>
      <c r="G13" s="7">
        <f>F8*'M-Budgeting Assumptions'!$B$10</f>
        <v>100800</v>
      </c>
      <c r="H13" s="7">
        <f>G8*'M-Budgeting Assumptions'!$B$10</f>
        <v>180000</v>
      </c>
      <c r="I13" s="7">
        <f>H8*'M-Budgeting Assumptions'!$B$10</f>
        <v>216000</v>
      </c>
      <c r="J13" s="7">
        <f>I8*'M-Budgeting Assumptions'!$B$10</f>
        <v>230400</v>
      </c>
      <c r="K13" s="7">
        <f>J8*'M-Budgeting Assumptions'!$B$10</f>
        <v>151200</v>
      </c>
      <c r="L13" s="7">
        <f>K8*'M-Budgeting Assumptions'!$B$10</f>
        <v>115200</v>
      </c>
      <c r="M13" s="7">
        <f>L8*'M-Budgeting Assumptions'!$B$10</f>
        <v>108000</v>
      </c>
      <c r="N13" s="7">
        <f>SUM(B13:M13)</f>
        <v>1448000</v>
      </c>
    </row>
    <row r="14" spans="1:14" ht="17.25" customHeight="1" x14ac:dyDescent="0.4">
      <c r="A14" s="15" t="s">
        <v>101</v>
      </c>
      <c r="B14" s="8">
        <f>B8*'M-Budgeting Assumptions'!$B$9</f>
        <v>16200</v>
      </c>
      <c r="C14" s="8">
        <f>C8*'M-Budgeting Assumptions'!$B$9</f>
        <v>12600</v>
      </c>
      <c r="D14" s="8">
        <f>D8*'M-Budgeting Assumptions'!$B$9</f>
        <v>18000</v>
      </c>
      <c r="E14" s="8">
        <f>E8*'M-Budgeting Assumptions'!$B$9</f>
        <v>19800</v>
      </c>
      <c r="F14" s="8">
        <f>F8*'M-Budgeting Assumptions'!$B$9</f>
        <v>25200</v>
      </c>
      <c r="G14" s="8">
        <f>G8*'M-Budgeting Assumptions'!$B$9</f>
        <v>45000</v>
      </c>
      <c r="H14" s="8">
        <f>H8*'M-Budgeting Assumptions'!$B$9</f>
        <v>54000</v>
      </c>
      <c r="I14" s="8">
        <f>I8*'M-Budgeting Assumptions'!$B$9</f>
        <v>57600</v>
      </c>
      <c r="J14" s="8">
        <f>J8*'M-Budgeting Assumptions'!$B$9</f>
        <v>37800</v>
      </c>
      <c r="K14" s="8">
        <f>K8*'M-Budgeting Assumptions'!$B$9</f>
        <v>28800</v>
      </c>
      <c r="L14" s="8">
        <f>L8*'M-Budgeting Assumptions'!$B$9</f>
        <v>27000</v>
      </c>
      <c r="M14" s="8">
        <f>M8*'M-Budgeting Assumptions'!$B$9</f>
        <v>19800</v>
      </c>
      <c r="N14" s="8">
        <f>SUM(B14:M14)</f>
        <v>361800</v>
      </c>
    </row>
    <row r="15" spans="1:14" ht="16.8" x14ac:dyDescent="0.4">
      <c r="A15" s="1" t="s">
        <v>70</v>
      </c>
      <c r="B15" s="4">
        <f>SUM(B13:B14)</f>
        <v>96200</v>
      </c>
      <c r="C15" s="4">
        <f>SUM(C13:C14)</f>
        <v>77400</v>
      </c>
      <c r="D15" s="4">
        <f t="shared" ref="D15:N15" si="1">SUM(D13:D14)</f>
        <v>68400</v>
      </c>
      <c r="E15" s="4">
        <f t="shared" si="1"/>
        <v>91800</v>
      </c>
      <c r="F15" s="4">
        <f t="shared" si="1"/>
        <v>104400</v>
      </c>
      <c r="G15" s="4">
        <f t="shared" si="1"/>
        <v>145800</v>
      </c>
      <c r="H15" s="4">
        <f t="shared" si="1"/>
        <v>234000</v>
      </c>
      <c r="I15" s="4">
        <f t="shared" si="1"/>
        <v>273600</v>
      </c>
      <c r="J15" s="4">
        <f t="shared" si="1"/>
        <v>268200</v>
      </c>
      <c r="K15" s="4">
        <f t="shared" si="1"/>
        <v>180000</v>
      </c>
      <c r="L15" s="4">
        <f t="shared" si="1"/>
        <v>142200</v>
      </c>
      <c r="M15" s="4">
        <f t="shared" si="1"/>
        <v>127800</v>
      </c>
      <c r="N15" s="4">
        <f t="shared" si="1"/>
        <v>1809800</v>
      </c>
    </row>
    <row r="16" spans="1:14" ht="16.8" x14ac:dyDescent="0.4">
      <c r="A16" s="1"/>
      <c r="B16" s="8"/>
      <c r="C16" s="8"/>
      <c r="D16" s="8"/>
      <c r="E16" s="8"/>
      <c r="F16" s="9"/>
    </row>
    <row r="17" spans="1:14" ht="16.8" x14ac:dyDescent="0.4">
      <c r="A17" s="15"/>
      <c r="B17" s="4"/>
      <c r="C17" s="4"/>
      <c r="D17" s="4"/>
      <c r="E17" s="4"/>
      <c r="F17" s="16"/>
    </row>
    <row r="19" spans="1:14" ht="15.6" x14ac:dyDescent="0.3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5" x14ac:dyDescent="0.25">
      <c r="A20" s="1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</row>
  </sheetData>
  <mergeCells count="4">
    <mergeCell ref="A1:N1"/>
    <mergeCell ref="A2:N2"/>
    <mergeCell ref="A3:N3"/>
    <mergeCell ref="A11:N11"/>
  </mergeCells>
  <phoneticPr fontId="0" type="noConversion"/>
  <pageMargins left="0.75" right="0.75" top="1" bottom="1" header="0.5" footer="0.5"/>
  <pageSetup orientation="portrait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A1:N20"/>
  <sheetViews>
    <sheetView workbookViewId="0">
      <selection sqref="A1:N1"/>
    </sheetView>
  </sheetViews>
  <sheetFormatPr defaultRowHeight="13.2" x14ac:dyDescent="0.25"/>
  <cols>
    <col min="1" max="1" width="45" bestFit="1" customWidth="1"/>
    <col min="2" max="2" width="14.44140625" bestFit="1" customWidth="1"/>
    <col min="3" max="3" width="15" customWidth="1"/>
    <col min="4" max="4" width="15.109375" bestFit="1" customWidth="1"/>
    <col min="5" max="5" width="14.33203125" bestFit="1" customWidth="1"/>
    <col min="6" max="6" width="15.5546875" bestFit="1" customWidth="1"/>
    <col min="7" max="13" width="15" customWidth="1"/>
    <col min="14" max="14" width="17.5546875" bestFit="1" customWidth="1"/>
  </cols>
  <sheetData>
    <row r="1" spans="1:14" ht="15.6" x14ac:dyDescent="0.3">
      <c r="A1" s="80" t="s">
        <v>77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ht="15.6" x14ac:dyDescent="0.3">
      <c r="A2" s="80" t="s">
        <v>143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ht="15.6" x14ac:dyDescent="0.3">
      <c r="A3" s="80" t="s">
        <v>95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4" ht="15.6" x14ac:dyDescent="0.3">
      <c r="A4" s="17"/>
      <c r="B4" s="17"/>
      <c r="C4" s="17"/>
      <c r="D4" s="17"/>
      <c r="E4" s="17"/>
      <c r="F4" s="17"/>
    </row>
    <row r="5" spans="1:14" ht="15.6" x14ac:dyDescent="0.3">
      <c r="A5" s="1"/>
      <c r="B5" s="2" t="s">
        <v>80</v>
      </c>
      <c r="C5" s="2" t="s">
        <v>81</v>
      </c>
      <c r="D5" s="2" t="s">
        <v>82</v>
      </c>
      <c r="E5" s="2" t="s">
        <v>83</v>
      </c>
      <c r="F5" s="2" t="s">
        <v>99</v>
      </c>
      <c r="G5" s="2" t="s">
        <v>85</v>
      </c>
      <c r="H5" s="2" t="s">
        <v>86</v>
      </c>
      <c r="I5" s="2" t="s">
        <v>87</v>
      </c>
      <c r="J5" s="2" t="s">
        <v>88</v>
      </c>
      <c r="K5" s="2" t="s">
        <v>89</v>
      </c>
      <c r="L5" s="2" t="s">
        <v>90</v>
      </c>
      <c r="M5" s="2" t="s">
        <v>91</v>
      </c>
      <c r="N5" s="2" t="s">
        <v>53</v>
      </c>
    </row>
    <row r="6" spans="1:14" ht="15" x14ac:dyDescent="0.25">
      <c r="A6" s="1" t="s">
        <v>139</v>
      </c>
      <c r="B6" s="3">
        <f>'F-Budgeting Assumptions'!C7</f>
        <v>800</v>
      </c>
      <c r="C6" s="3">
        <f>'F-Budgeting Assumptions'!D7</f>
        <v>600</v>
      </c>
      <c r="D6" s="3">
        <f>'F-Budgeting Assumptions'!E7</f>
        <v>900</v>
      </c>
      <c r="E6" s="3">
        <f>'F-Budgeting Assumptions'!F7</f>
        <v>1000</v>
      </c>
      <c r="F6" s="3">
        <f>'F-Budgeting Assumptions'!G7</f>
        <v>1200</v>
      </c>
      <c r="G6" s="3">
        <f>'F-Budgeting Assumptions'!H7</f>
        <v>2850</v>
      </c>
      <c r="H6" s="3">
        <f>'F-Budgeting Assumptions'!I7</f>
        <v>3325</v>
      </c>
      <c r="I6" s="3">
        <f>'F-Budgeting Assumptions'!J7</f>
        <v>3475</v>
      </c>
      <c r="J6" s="3">
        <f>'F-Budgeting Assumptions'!K7</f>
        <v>2340</v>
      </c>
      <c r="K6" s="3">
        <f>'F-Budgeting Assumptions'!L7</f>
        <v>1820</v>
      </c>
      <c r="L6" s="3">
        <f>'F-Budgeting Assumptions'!M7</f>
        <v>1200</v>
      </c>
      <c r="M6" s="3">
        <f>'F-Budgeting Assumptions'!N7</f>
        <v>900</v>
      </c>
      <c r="N6" s="3">
        <f>SUM(B6:M6)</f>
        <v>20410</v>
      </c>
    </row>
    <row r="7" spans="1:14" ht="16.8" x14ac:dyDescent="0.4">
      <c r="A7" s="1" t="s">
        <v>69</v>
      </c>
      <c r="B7" s="12">
        <f>+'F-Budgeting Assumptions'!$B$8</f>
        <v>90</v>
      </c>
      <c r="C7" s="12">
        <f>+'F-Budgeting Assumptions'!$B$8</f>
        <v>90</v>
      </c>
      <c r="D7" s="12">
        <f>+'F-Budgeting Assumptions'!$B$8</f>
        <v>90</v>
      </c>
      <c r="E7" s="12">
        <f>+'F-Budgeting Assumptions'!$B$8</f>
        <v>90</v>
      </c>
      <c r="F7" s="12">
        <f>+'F-Budgeting Assumptions'!$B$8</f>
        <v>90</v>
      </c>
      <c r="G7" s="12">
        <f>+'F-Budgeting Assumptions'!$B$8</f>
        <v>90</v>
      </c>
      <c r="H7" s="12">
        <f>+'F-Budgeting Assumptions'!$B$8</f>
        <v>90</v>
      </c>
      <c r="I7" s="12">
        <f>+'F-Budgeting Assumptions'!$B$8</f>
        <v>90</v>
      </c>
      <c r="J7" s="12">
        <f>+'F-Budgeting Assumptions'!$B$8</f>
        <v>90</v>
      </c>
      <c r="K7" s="12">
        <f>+'F-Budgeting Assumptions'!$B$8</f>
        <v>90</v>
      </c>
      <c r="L7" s="12">
        <f>+'F-Budgeting Assumptions'!$B$8</f>
        <v>90</v>
      </c>
      <c r="M7" s="12">
        <f>+'F-Budgeting Assumptions'!$B$8</f>
        <v>90</v>
      </c>
      <c r="N7" s="12">
        <v>90</v>
      </c>
    </row>
    <row r="8" spans="1:14" ht="16.8" x14ac:dyDescent="0.4">
      <c r="A8" s="15" t="s">
        <v>0</v>
      </c>
      <c r="B8" s="4">
        <f>B6*B7</f>
        <v>72000</v>
      </c>
      <c r="C8" s="4">
        <f>C6*C7</f>
        <v>54000</v>
      </c>
      <c r="D8" s="4">
        <f>D6*D7</f>
        <v>81000</v>
      </c>
      <c r="E8" s="4">
        <f>E6*E7</f>
        <v>90000</v>
      </c>
      <c r="F8" s="4">
        <f>F6*F7</f>
        <v>108000</v>
      </c>
      <c r="G8" s="4">
        <f t="shared" ref="G8:N8" si="0">G6*G7</f>
        <v>256500</v>
      </c>
      <c r="H8" s="4">
        <f t="shared" si="0"/>
        <v>299250</v>
      </c>
      <c r="I8" s="4">
        <f t="shared" si="0"/>
        <v>312750</v>
      </c>
      <c r="J8" s="4">
        <f t="shared" si="0"/>
        <v>210600</v>
      </c>
      <c r="K8" s="4">
        <f t="shared" si="0"/>
        <v>163800</v>
      </c>
      <c r="L8" s="4">
        <f t="shared" si="0"/>
        <v>108000</v>
      </c>
      <c r="M8" s="4">
        <f t="shared" si="0"/>
        <v>81000</v>
      </c>
      <c r="N8" s="4">
        <f t="shared" si="0"/>
        <v>1836900</v>
      </c>
    </row>
    <row r="9" spans="1:14" ht="16.8" x14ac:dyDescent="0.4">
      <c r="A9" s="15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4" ht="15" x14ac:dyDescent="0.25">
      <c r="A10" s="1"/>
      <c r="B10" s="1"/>
      <c r="C10" s="1"/>
      <c r="D10" s="1"/>
      <c r="E10" s="1"/>
      <c r="F10" s="1"/>
    </row>
    <row r="11" spans="1:14" ht="15.6" x14ac:dyDescent="0.3">
      <c r="A11" s="80" t="s">
        <v>16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</row>
    <row r="12" spans="1:14" ht="15.6" x14ac:dyDescent="0.3">
      <c r="A12" s="15"/>
      <c r="B12" s="2" t="s">
        <v>80</v>
      </c>
      <c r="C12" s="2" t="s">
        <v>81</v>
      </c>
      <c r="D12" s="2" t="s">
        <v>82</v>
      </c>
      <c r="E12" s="2" t="s">
        <v>83</v>
      </c>
      <c r="F12" s="2" t="s">
        <v>99</v>
      </c>
      <c r="G12" s="2" t="s">
        <v>85</v>
      </c>
      <c r="H12" s="2" t="s">
        <v>86</v>
      </c>
      <c r="I12" s="2" t="s">
        <v>87</v>
      </c>
      <c r="J12" s="2" t="s">
        <v>88</v>
      </c>
      <c r="K12" s="2" t="s">
        <v>89</v>
      </c>
      <c r="L12" s="2" t="s">
        <v>90</v>
      </c>
      <c r="M12" s="2" t="s">
        <v>91</v>
      </c>
    </row>
    <row r="13" spans="1:14" ht="15" x14ac:dyDescent="0.25">
      <c r="A13" s="1" t="s">
        <v>100</v>
      </c>
      <c r="B13" s="5">
        <f>'Beginning Balance Sheet'!B8</f>
        <v>80000</v>
      </c>
      <c r="C13" s="7">
        <f>B8*'F-Budgeting Assumptions'!$B$10</f>
        <v>57600</v>
      </c>
      <c r="D13" s="7">
        <f>C8*'F-Budgeting Assumptions'!$B$10</f>
        <v>43200</v>
      </c>
      <c r="E13" s="7">
        <f>D8*'F-Budgeting Assumptions'!$B$10</f>
        <v>64800</v>
      </c>
      <c r="F13" s="7">
        <f>E8*'F-Budgeting Assumptions'!$B$10</f>
        <v>72000</v>
      </c>
      <c r="G13" s="7">
        <f>F8*'F-Budgeting Assumptions'!$B$10</f>
        <v>86400</v>
      </c>
      <c r="H13" s="7">
        <f>G8*'F-Budgeting Assumptions'!$B$10</f>
        <v>205200</v>
      </c>
      <c r="I13" s="7">
        <f>H8*'F-Budgeting Assumptions'!$B$10</f>
        <v>239400</v>
      </c>
      <c r="J13" s="7">
        <f>I8*'F-Budgeting Assumptions'!$B$10</f>
        <v>250200</v>
      </c>
      <c r="K13" s="7">
        <f>J8*'F-Budgeting Assumptions'!$B$10</f>
        <v>168480</v>
      </c>
      <c r="L13" s="7">
        <f>K8*'F-Budgeting Assumptions'!$B$10</f>
        <v>131040</v>
      </c>
      <c r="M13" s="7">
        <f>L8*'F-Budgeting Assumptions'!$B$10</f>
        <v>86400</v>
      </c>
      <c r="N13" s="7">
        <f>SUM(B13:M13)</f>
        <v>1484720</v>
      </c>
    </row>
    <row r="14" spans="1:14" ht="17.25" customHeight="1" x14ac:dyDescent="0.4">
      <c r="A14" s="15" t="s">
        <v>101</v>
      </c>
      <c r="B14" s="8">
        <f>B8*'F-Budgeting Assumptions'!$B$9</f>
        <v>14400</v>
      </c>
      <c r="C14" s="8">
        <f>C8*'F-Budgeting Assumptions'!$B$9</f>
        <v>10800</v>
      </c>
      <c r="D14" s="8">
        <f>D8*'F-Budgeting Assumptions'!$B$9</f>
        <v>16200</v>
      </c>
      <c r="E14" s="8">
        <f>E8*'F-Budgeting Assumptions'!$B$9</f>
        <v>18000</v>
      </c>
      <c r="F14" s="8">
        <f>F8*'F-Budgeting Assumptions'!$B$9</f>
        <v>21600</v>
      </c>
      <c r="G14" s="8">
        <f>G8*'F-Budgeting Assumptions'!$B$9</f>
        <v>51300</v>
      </c>
      <c r="H14" s="8">
        <f>H8*'F-Budgeting Assumptions'!$B$9</f>
        <v>59850</v>
      </c>
      <c r="I14" s="8">
        <f>I8*'F-Budgeting Assumptions'!$B$9</f>
        <v>62550</v>
      </c>
      <c r="J14" s="8">
        <f>J8*'F-Budgeting Assumptions'!$B$9</f>
        <v>42120</v>
      </c>
      <c r="K14" s="8">
        <f>K8*'F-Budgeting Assumptions'!$B$9</f>
        <v>32760</v>
      </c>
      <c r="L14" s="8">
        <f>L8*'F-Budgeting Assumptions'!$B$9</f>
        <v>21600</v>
      </c>
      <c r="M14" s="8">
        <f>M8*'F-Budgeting Assumptions'!$B$9</f>
        <v>16200</v>
      </c>
      <c r="N14" s="8">
        <f>SUM(B14:M14)</f>
        <v>367380</v>
      </c>
    </row>
    <row r="15" spans="1:14" ht="16.8" x14ac:dyDescent="0.4">
      <c r="A15" s="1" t="s">
        <v>70</v>
      </c>
      <c r="B15" s="4">
        <f>SUM(B13:B14)</f>
        <v>94400</v>
      </c>
      <c r="C15" s="4">
        <f>SUM(C13:C14)</f>
        <v>68400</v>
      </c>
      <c r="D15" s="4">
        <f t="shared" ref="D15:N15" si="1">SUM(D13:D14)</f>
        <v>59400</v>
      </c>
      <c r="E15" s="4">
        <f t="shared" si="1"/>
        <v>82800</v>
      </c>
      <c r="F15" s="4">
        <f t="shared" si="1"/>
        <v>93600</v>
      </c>
      <c r="G15" s="4">
        <f t="shared" si="1"/>
        <v>137700</v>
      </c>
      <c r="H15" s="4">
        <f t="shared" si="1"/>
        <v>265050</v>
      </c>
      <c r="I15" s="4">
        <f t="shared" si="1"/>
        <v>301950</v>
      </c>
      <c r="J15" s="4">
        <f t="shared" si="1"/>
        <v>292320</v>
      </c>
      <c r="K15" s="4">
        <f t="shared" si="1"/>
        <v>201240</v>
      </c>
      <c r="L15" s="4">
        <f t="shared" si="1"/>
        <v>152640</v>
      </c>
      <c r="M15" s="4">
        <f t="shared" si="1"/>
        <v>102600</v>
      </c>
      <c r="N15" s="4">
        <f t="shared" si="1"/>
        <v>1852100</v>
      </c>
    </row>
    <row r="16" spans="1:14" ht="16.8" x14ac:dyDescent="0.4">
      <c r="A16" s="1"/>
      <c r="B16" s="8"/>
      <c r="C16" s="8"/>
      <c r="D16" s="8"/>
      <c r="E16" s="8"/>
      <c r="F16" s="9"/>
    </row>
    <row r="17" spans="1:14" ht="16.8" x14ac:dyDescent="0.4">
      <c r="A17" s="15"/>
      <c r="B17" s="4"/>
      <c r="C17" s="4"/>
      <c r="D17" s="4"/>
      <c r="E17" s="4"/>
      <c r="F17" s="16"/>
    </row>
    <row r="19" spans="1:14" ht="15.6" x14ac:dyDescent="0.3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5" x14ac:dyDescent="0.25">
      <c r="A20" s="1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</row>
  </sheetData>
  <mergeCells count="4">
    <mergeCell ref="A1:N1"/>
    <mergeCell ref="A2:N2"/>
    <mergeCell ref="A3:N3"/>
    <mergeCell ref="A11:N11"/>
  </mergeCells>
  <pageMargins left="0.75" right="0.75" top="1" bottom="1" header="0.5" footer="0.5"/>
  <pageSetup orientation="portrait" horizont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">
    <tabColor theme="8" tint="0.39997558519241921"/>
  </sheetPr>
  <dimension ref="A1:N31"/>
  <sheetViews>
    <sheetView topLeftCell="B1" workbookViewId="0">
      <selection activeCell="J6" sqref="J6"/>
    </sheetView>
  </sheetViews>
  <sheetFormatPr defaultRowHeight="13.2" x14ac:dyDescent="0.25"/>
  <cols>
    <col min="1" max="1" width="59.5546875" bestFit="1" customWidth="1"/>
    <col min="2" max="13" width="15" customWidth="1"/>
    <col min="14" max="14" width="14.33203125" bestFit="1" customWidth="1"/>
  </cols>
  <sheetData>
    <row r="1" spans="1:14" ht="15.6" x14ac:dyDescent="0.3">
      <c r="A1" s="80" t="s">
        <v>77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ht="15.6" x14ac:dyDescent="0.3">
      <c r="A2" s="80" t="s">
        <v>144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ht="15.6" x14ac:dyDescent="0.3">
      <c r="A3" s="80" t="s">
        <v>95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4" ht="15.6" x14ac:dyDescent="0.3">
      <c r="A4" s="17"/>
      <c r="B4" s="17"/>
      <c r="C4" s="17"/>
      <c r="D4" s="17"/>
      <c r="E4" s="17"/>
      <c r="F4" s="32"/>
    </row>
    <row r="5" spans="1:14" ht="15.6" x14ac:dyDescent="0.3">
      <c r="A5" s="1"/>
      <c r="B5" s="2" t="s">
        <v>80</v>
      </c>
      <c r="C5" s="2" t="s">
        <v>81</v>
      </c>
      <c r="D5" s="2" t="s">
        <v>82</v>
      </c>
      <c r="E5" s="2" t="s">
        <v>83</v>
      </c>
      <c r="F5" s="2" t="s">
        <v>99</v>
      </c>
      <c r="G5" s="2" t="s">
        <v>85</v>
      </c>
      <c r="H5" s="2" t="s">
        <v>86</v>
      </c>
      <c r="I5" s="2" t="s">
        <v>87</v>
      </c>
      <c r="J5" s="2" t="s">
        <v>88</v>
      </c>
      <c r="K5" s="2" t="s">
        <v>89</v>
      </c>
      <c r="L5" s="2" t="s">
        <v>90</v>
      </c>
      <c r="M5" s="2" t="s">
        <v>91</v>
      </c>
      <c r="N5" s="2" t="s">
        <v>53</v>
      </c>
    </row>
    <row r="6" spans="1:14" ht="17.25" customHeight="1" x14ac:dyDescent="0.25">
      <c r="A6" s="1" t="s">
        <v>106</v>
      </c>
      <c r="B6" s="5">
        <f>'M-Sales Budget'!B8*'M-Budgeting Assumptions'!$B$13</f>
        <v>44550</v>
      </c>
      <c r="C6" s="5">
        <f>'M-Sales Budget'!C8*'M-Budgeting Assumptions'!$B$13</f>
        <v>34650</v>
      </c>
      <c r="D6" s="5">
        <f>'M-Sales Budget'!D8*'M-Budgeting Assumptions'!$B$13</f>
        <v>49500.000000000007</v>
      </c>
      <c r="E6" s="5">
        <f>'M-Sales Budget'!E8*'M-Budgeting Assumptions'!$B$13</f>
        <v>54450.000000000007</v>
      </c>
      <c r="F6" s="5">
        <f>'M-Sales Budget'!F8*'M-Budgeting Assumptions'!$B$13</f>
        <v>69300</v>
      </c>
      <c r="G6" s="5">
        <f>'M-Sales Budget'!G8*'M-Budgeting Assumptions'!$B$13</f>
        <v>123750.00000000001</v>
      </c>
      <c r="H6" s="5">
        <f>'M-Sales Budget'!H8*'M-Budgeting Assumptions'!$B$13</f>
        <v>148500</v>
      </c>
      <c r="I6" s="5">
        <f>'M-Sales Budget'!I8*'M-Budgeting Assumptions'!$B$13</f>
        <v>158400</v>
      </c>
      <c r="J6" s="5">
        <f>'M-Sales Budget'!J8*'M-Budgeting Assumptions'!$B$13</f>
        <v>103950.00000000001</v>
      </c>
      <c r="K6" s="5">
        <f>'M-Sales Budget'!K8*'M-Budgeting Assumptions'!$B$13</f>
        <v>79200</v>
      </c>
      <c r="L6" s="5">
        <f>'M-Sales Budget'!L8*'M-Budgeting Assumptions'!$B$13</f>
        <v>74250</v>
      </c>
      <c r="M6" s="5">
        <f>'M-Sales Budget'!M8*'M-Budgeting Assumptions'!$B$13</f>
        <v>54450.000000000007</v>
      </c>
      <c r="N6" s="5">
        <f>SUM(B6:M6)</f>
        <v>994950</v>
      </c>
    </row>
    <row r="7" spans="1:14" ht="17.25" customHeight="1" x14ac:dyDescent="0.4">
      <c r="A7" s="1" t="s">
        <v>107</v>
      </c>
      <c r="B7" s="8">
        <f>C6*'M-Budgeting Assumptions'!$B$14</f>
        <v>8662.5</v>
      </c>
      <c r="C7" s="8">
        <f>D6*'M-Budgeting Assumptions'!$B$14</f>
        <v>12375.000000000002</v>
      </c>
      <c r="D7" s="8">
        <f>E6*'M-Budgeting Assumptions'!$B$14</f>
        <v>13612.500000000002</v>
      </c>
      <c r="E7" s="8">
        <f>F6*'M-Budgeting Assumptions'!$B$14</f>
        <v>17325</v>
      </c>
      <c r="F7" s="8">
        <f>G6*'M-Budgeting Assumptions'!$B$14</f>
        <v>30937.500000000004</v>
      </c>
      <c r="G7" s="8">
        <f>H6*'M-Budgeting Assumptions'!$B$14</f>
        <v>37125</v>
      </c>
      <c r="H7" s="8">
        <f>I6*'M-Budgeting Assumptions'!$B$14</f>
        <v>39600</v>
      </c>
      <c r="I7" s="8">
        <f>J6*'M-Budgeting Assumptions'!$B$14</f>
        <v>25987.500000000004</v>
      </c>
      <c r="J7" s="8">
        <f>K6*'M-Budgeting Assumptions'!$B$14</f>
        <v>19800</v>
      </c>
      <c r="K7" s="8">
        <f>L6*'M-Budgeting Assumptions'!$B$14</f>
        <v>18562.5</v>
      </c>
      <c r="L7" s="8">
        <f>M6*'M-Budgeting Assumptions'!$B$14</f>
        <v>13612.500000000002</v>
      </c>
      <c r="M7" s="8">
        <v>12100</v>
      </c>
      <c r="N7" s="31">
        <f>M7</f>
        <v>12100</v>
      </c>
    </row>
    <row r="8" spans="1:14" ht="17.25" customHeight="1" x14ac:dyDescent="0.25">
      <c r="A8" s="15" t="s">
        <v>29</v>
      </c>
      <c r="B8" s="3">
        <f>SUM(B6:B7)</f>
        <v>53212.5</v>
      </c>
      <c r="C8" s="3">
        <f>SUM(C6:C7)</f>
        <v>47025</v>
      </c>
      <c r="D8" s="3">
        <f>SUM(D6:D7)</f>
        <v>63112.500000000007</v>
      </c>
      <c r="E8" s="3">
        <f>SUM(E6:E7)</f>
        <v>71775</v>
      </c>
      <c r="F8" s="3">
        <f>SUM(F6:F7)</f>
        <v>100237.5</v>
      </c>
      <c r="G8" s="3">
        <f t="shared" ref="G8:N8" si="0">SUM(G6:G7)</f>
        <v>160875</v>
      </c>
      <c r="H8" s="3">
        <f t="shared" si="0"/>
        <v>188100</v>
      </c>
      <c r="I8" s="3">
        <f t="shared" si="0"/>
        <v>184387.5</v>
      </c>
      <c r="J8" s="3">
        <f t="shared" si="0"/>
        <v>123750.00000000001</v>
      </c>
      <c r="K8" s="3">
        <f t="shared" si="0"/>
        <v>97762.5</v>
      </c>
      <c r="L8" s="3">
        <f t="shared" si="0"/>
        <v>87862.5</v>
      </c>
      <c r="M8" s="3">
        <f t="shared" si="0"/>
        <v>66550</v>
      </c>
      <c r="N8" s="3">
        <f t="shared" si="0"/>
        <v>1007050</v>
      </c>
    </row>
    <row r="9" spans="1:14" ht="17.25" customHeight="1" x14ac:dyDescent="0.4">
      <c r="A9" s="1" t="s">
        <v>108</v>
      </c>
      <c r="B9" s="8">
        <f>'Beginning Balance Sheet'!B9</f>
        <v>13200</v>
      </c>
      <c r="C9" s="9">
        <f>B7</f>
        <v>8662.5</v>
      </c>
      <c r="D9" s="9">
        <f>C7</f>
        <v>12375.000000000002</v>
      </c>
      <c r="E9" s="9">
        <f>D7</f>
        <v>13612.500000000002</v>
      </c>
      <c r="F9" s="9">
        <f>E7</f>
        <v>17325</v>
      </c>
      <c r="G9" s="9">
        <f t="shared" ref="G9:M9" si="1">F7</f>
        <v>30937.500000000004</v>
      </c>
      <c r="H9" s="9">
        <f t="shared" si="1"/>
        <v>37125</v>
      </c>
      <c r="I9" s="9">
        <f t="shared" si="1"/>
        <v>39600</v>
      </c>
      <c r="J9" s="9">
        <f t="shared" si="1"/>
        <v>25987.500000000004</v>
      </c>
      <c r="K9" s="9">
        <f t="shared" si="1"/>
        <v>19800</v>
      </c>
      <c r="L9" s="9">
        <f t="shared" si="1"/>
        <v>18562.5</v>
      </c>
      <c r="M9" s="9">
        <f t="shared" si="1"/>
        <v>13612.500000000002</v>
      </c>
      <c r="N9" s="19">
        <f>B9</f>
        <v>13200</v>
      </c>
    </row>
    <row r="10" spans="1:14" ht="17.25" customHeight="1" x14ac:dyDescent="0.4">
      <c r="A10" s="1" t="s">
        <v>109</v>
      </c>
      <c r="B10" s="4">
        <f>B8-B9</f>
        <v>40012.5</v>
      </c>
      <c r="C10" s="4">
        <f>C8-C9</f>
        <v>38362.5</v>
      </c>
      <c r="D10" s="4">
        <f>D8-D9</f>
        <v>50737.500000000007</v>
      </c>
      <c r="E10" s="4">
        <f>E8-E9</f>
        <v>58162.5</v>
      </c>
      <c r="F10" s="4">
        <f>F8-F9</f>
        <v>82912.5</v>
      </c>
      <c r="G10" s="4">
        <f t="shared" ref="G10:N10" si="2">G8-G9</f>
        <v>129937.5</v>
      </c>
      <c r="H10" s="4">
        <f t="shared" si="2"/>
        <v>150975</v>
      </c>
      <c r="I10" s="4">
        <f t="shared" si="2"/>
        <v>144787.5</v>
      </c>
      <c r="J10" s="4">
        <f t="shared" si="2"/>
        <v>97762.500000000015</v>
      </c>
      <c r="K10" s="4">
        <f t="shared" si="2"/>
        <v>77962.5</v>
      </c>
      <c r="L10" s="4">
        <f t="shared" si="2"/>
        <v>69300</v>
      </c>
      <c r="M10" s="4">
        <f t="shared" si="2"/>
        <v>52937.5</v>
      </c>
      <c r="N10" s="4">
        <f t="shared" si="2"/>
        <v>993850</v>
      </c>
    </row>
    <row r="11" spans="1:14" ht="17.25" customHeight="1" x14ac:dyDescent="0.25"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1"/>
    </row>
    <row r="12" spans="1:14" ht="17.25" customHeight="1" x14ac:dyDescent="0.25">
      <c r="N12" s="1"/>
    </row>
    <row r="13" spans="1:14" ht="17.25" customHeight="1" x14ac:dyDescent="0.3">
      <c r="A13" s="80" t="s">
        <v>113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</row>
    <row r="14" spans="1:14" ht="17.25" customHeight="1" x14ac:dyDescent="0.3">
      <c r="A14" s="15"/>
      <c r="B14" s="2" t="s">
        <v>80</v>
      </c>
      <c r="C14" s="2" t="s">
        <v>81</v>
      </c>
      <c r="D14" s="2" t="s">
        <v>82</v>
      </c>
      <c r="E14" s="2" t="s">
        <v>83</v>
      </c>
      <c r="F14" s="2" t="s">
        <v>99</v>
      </c>
      <c r="G14" s="2" t="s">
        <v>85</v>
      </c>
      <c r="H14" s="2" t="s">
        <v>86</v>
      </c>
      <c r="I14" s="2" t="s">
        <v>87</v>
      </c>
      <c r="J14" s="2" t="s">
        <v>88</v>
      </c>
      <c r="K14" s="2" t="s">
        <v>89</v>
      </c>
      <c r="L14" s="2" t="s">
        <v>90</v>
      </c>
      <c r="M14" s="2" t="s">
        <v>91</v>
      </c>
      <c r="N14" s="2" t="s">
        <v>53</v>
      </c>
    </row>
    <row r="15" spans="1:14" ht="17.25" customHeight="1" x14ac:dyDescent="0.25">
      <c r="A15" s="1" t="s">
        <v>110</v>
      </c>
      <c r="B15" s="5">
        <f>'Beginning Balance Sheet'!C19</f>
        <v>40000</v>
      </c>
      <c r="C15" s="11">
        <f>B10*'M-Budgeting Assumptions'!$B$16</f>
        <v>34010.625</v>
      </c>
      <c r="D15" s="11">
        <f>C10*'M-Budgeting Assumptions'!$B$16</f>
        <v>32608.125</v>
      </c>
      <c r="E15" s="11">
        <f>D10*'M-Budgeting Assumptions'!$B$16</f>
        <v>43126.875000000007</v>
      </c>
      <c r="F15" s="11">
        <f>E10*'M-Budgeting Assumptions'!$B$16</f>
        <v>49438.125</v>
      </c>
      <c r="G15" s="11">
        <f>F10*'M-Budgeting Assumptions'!$B$16</f>
        <v>70475.625</v>
      </c>
      <c r="H15" s="11">
        <f>G10*'M-Budgeting Assumptions'!$B$16</f>
        <v>110446.875</v>
      </c>
      <c r="I15" s="11">
        <f>H10*'M-Budgeting Assumptions'!$B$16</f>
        <v>128328.75</v>
      </c>
      <c r="J15" s="11">
        <f>I10*'M-Budgeting Assumptions'!$B$16</f>
        <v>123069.375</v>
      </c>
      <c r="K15" s="11">
        <f>J10*'M-Budgeting Assumptions'!$B$16</f>
        <v>83098.125000000015</v>
      </c>
      <c r="L15" s="11">
        <f>K10*'M-Budgeting Assumptions'!$B$16</f>
        <v>66268.125</v>
      </c>
      <c r="M15" s="11">
        <f>L10*'M-Budgeting Assumptions'!$B$16</f>
        <v>58905</v>
      </c>
      <c r="N15" s="18">
        <f>SUM(B15:M15)</f>
        <v>839775.625</v>
      </c>
    </row>
    <row r="16" spans="1:14" ht="17.25" customHeight="1" x14ac:dyDescent="0.4">
      <c r="A16" s="1" t="s">
        <v>111</v>
      </c>
      <c r="B16" s="8">
        <f>B$10*'M-Budgeting Assumptions'!$B$15</f>
        <v>6001.875</v>
      </c>
      <c r="C16" s="8">
        <f>C$10*'M-Budgeting Assumptions'!$B$15</f>
        <v>5754.375</v>
      </c>
      <c r="D16" s="8">
        <f>D$10*'M-Budgeting Assumptions'!$B$15</f>
        <v>7610.6250000000009</v>
      </c>
      <c r="E16" s="8">
        <f>E$10*'M-Budgeting Assumptions'!$B$15</f>
        <v>8724.375</v>
      </c>
      <c r="F16" s="8">
        <f>F$10*'M-Budgeting Assumptions'!$B$15</f>
        <v>12436.875</v>
      </c>
      <c r="G16" s="8">
        <f>G$10*'M-Budgeting Assumptions'!$B$15</f>
        <v>19490.625</v>
      </c>
      <c r="H16" s="8">
        <f>H$10*'M-Budgeting Assumptions'!$B$15</f>
        <v>22646.25</v>
      </c>
      <c r="I16" s="8">
        <f>I$10*'M-Budgeting Assumptions'!$B$15</f>
        <v>21718.125</v>
      </c>
      <c r="J16" s="8">
        <f>J$10*'M-Budgeting Assumptions'!$B$15</f>
        <v>14664.375000000002</v>
      </c>
      <c r="K16" s="8">
        <f>K$10*'M-Budgeting Assumptions'!$B$15</f>
        <v>11694.375</v>
      </c>
      <c r="L16" s="8">
        <f>L$10*'M-Budgeting Assumptions'!$B$15</f>
        <v>10395</v>
      </c>
      <c r="M16" s="8">
        <f>M$10*'M-Budgeting Assumptions'!$B$15</f>
        <v>7940.625</v>
      </c>
      <c r="N16" s="31">
        <f>SUM(B16:M16)</f>
        <v>149077.5</v>
      </c>
    </row>
    <row r="17" spans="1:14" ht="17.25" customHeight="1" x14ac:dyDescent="0.4">
      <c r="A17" s="1" t="s">
        <v>112</v>
      </c>
      <c r="B17" s="4">
        <f>SUM(B15:B16)</f>
        <v>46001.875</v>
      </c>
      <c r="C17" s="4">
        <f>SUM(C15:C16)</f>
        <v>39765</v>
      </c>
      <c r="D17" s="4">
        <f t="shared" ref="D17:N17" si="3">SUM(D15:D16)</f>
        <v>40218.75</v>
      </c>
      <c r="E17" s="4">
        <f t="shared" si="3"/>
        <v>51851.250000000007</v>
      </c>
      <c r="F17" s="4">
        <f t="shared" si="3"/>
        <v>61875</v>
      </c>
      <c r="G17" s="4">
        <f t="shared" si="3"/>
        <v>89966.25</v>
      </c>
      <c r="H17" s="4">
        <f t="shared" si="3"/>
        <v>133093.125</v>
      </c>
      <c r="I17" s="4">
        <f t="shared" si="3"/>
        <v>150046.875</v>
      </c>
      <c r="J17" s="4">
        <f t="shared" si="3"/>
        <v>137733.75</v>
      </c>
      <c r="K17" s="4">
        <f t="shared" si="3"/>
        <v>94792.500000000015</v>
      </c>
      <c r="L17" s="4">
        <f t="shared" si="3"/>
        <v>76663.125</v>
      </c>
      <c r="M17" s="4">
        <f t="shared" si="3"/>
        <v>66845.625</v>
      </c>
      <c r="N17" s="4">
        <f t="shared" si="3"/>
        <v>988853.125</v>
      </c>
    </row>
    <row r="18" spans="1:14" ht="17.25" customHeight="1" x14ac:dyDescent="0.25"/>
    <row r="19" spans="1:14" ht="17.25" customHeight="1" x14ac:dyDescent="0.25"/>
    <row r="20" spans="1:14" ht="17.25" customHeight="1" x14ac:dyDescent="0.25">
      <c r="A20" s="1" t="s">
        <v>128</v>
      </c>
    </row>
    <row r="21" spans="1:14" ht="17.25" customHeight="1" x14ac:dyDescent="0.25"/>
    <row r="22" spans="1:14" ht="17.25" customHeight="1" x14ac:dyDescent="0.25"/>
    <row r="23" spans="1:14" ht="17.25" customHeight="1" x14ac:dyDescent="0.25"/>
    <row r="24" spans="1:14" ht="17.25" customHeight="1" x14ac:dyDescent="0.25"/>
    <row r="25" spans="1:14" ht="17.25" customHeight="1" x14ac:dyDescent="0.25"/>
    <row r="26" spans="1:14" ht="17.25" customHeight="1" x14ac:dyDescent="0.25"/>
    <row r="27" spans="1:14" ht="17.25" customHeight="1" x14ac:dyDescent="0.25"/>
    <row r="28" spans="1:14" ht="17.25" customHeight="1" x14ac:dyDescent="0.25"/>
    <row r="29" spans="1:14" ht="17.25" customHeight="1" x14ac:dyDescent="0.25"/>
    <row r="30" spans="1:14" ht="17.25" customHeight="1" x14ac:dyDescent="0.25"/>
    <row r="31" spans="1:14" ht="17.25" customHeight="1" x14ac:dyDescent="0.25"/>
  </sheetData>
  <mergeCells count="4">
    <mergeCell ref="A1:N1"/>
    <mergeCell ref="A2:N2"/>
    <mergeCell ref="A3:N3"/>
    <mergeCell ref="A13:N13"/>
  </mergeCells>
  <phoneticPr fontId="0" type="noConversion"/>
  <pageMargins left="0.75" right="0.7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</sheetPr>
  <dimension ref="A1:N31"/>
  <sheetViews>
    <sheetView workbookViewId="0">
      <selection activeCell="F17" sqref="F17"/>
    </sheetView>
  </sheetViews>
  <sheetFormatPr defaultRowHeight="13.2" x14ac:dyDescent="0.25"/>
  <cols>
    <col min="1" max="1" width="59.5546875" bestFit="1" customWidth="1"/>
    <col min="2" max="13" width="15" customWidth="1"/>
    <col min="14" max="14" width="14.33203125" bestFit="1" customWidth="1"/>
  </cols>
  <sheetData>
    <row r="1" spans="1:14" ht="15.6" x14ac:dyDescent="0.3">
      <c r="A1" s="80" t="s">
        <v>77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ht="15.6" x14ac:dyDescent="0.3">
      <c r="A2" s="80" t="s">
        <v>145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ht="15.6" x14ac:dyDescent="0.3">
      <c r="A3" s="80" t="s">
        <v>95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4" ht="15.6" x14ac:dyDescent="0.3">
      <c r="A4" s="17"/>
      <c r="B4" s="17"/>
      <c r="C4" s="17"/>
      <c r="D4" s="17"/>
      <c r="E4" s="17"/>
      <c r="F4" s="32"/>
    </row>
    <row r="5" spans="1:14" ht="15.6" x14ac:dyDescent="0.3">
      <c r="A5" s="1"/>
      <c r="B5" s="2" t="s">
        <v>80</v>
      </c>
      <c r="C5" s="2" t="s">
        <v>81</v>
      </c>
      <c r="D5" s="2" t="s">
        <v>82</v>
      </c>
      <c r="E5" s="2" t="s">
        <v>83</v>
      </c>
      <c r="F5" s="2" t="s">
        <v>99</v>
      </c>
      <c r="G5" s="2" t="s">
        <v>85</v>
      </c>
      <c r="H5" s="2" t="s">
        <v>86</v>
      </c>
      <c r="I5" s="2" t="s">
        <v>87</v>
      </c>
      <c r="J5" s="2" t="s">
        <v>88</v>
      </c>
      <c r="K5" s="2" t="s">
        <v>89</v>
      </c>
      <c r="L5" s="2" t="s">
        <v>90</v>
      </c>
      <c r="M5" s="2" t="s">
        <v>91</v>
      </c>
      <c r="N5" s="2" t="s">
        <v>53</v>
      </c>
    </row>
    <row r="6" spans="1:14" ht="17.25" customHeight="1" x14ac:dyDescent="0.25">
      <c r="A6" s="1" t="s">
        <v>106</v>
      </c>
      <c r="B6" s="5">
        <f>'F-Sales Budget'!B8*'F-Budgeting Assumptions'!$B$13</f>
        <v>39600</v>
      </c>
      <c r="C6" s="5">
        <f>'F-Sales Budget'!C8*'F-Budgeting Assumptions'!$B$13</f>
        <v>29700.000000000004</v>
      </c>
      <c r="D6" s="5">
        <f>'F-Sales Budget'!D8*'F-Budgeting Assumptions'!$B$13</f>
        <v>44550</v>
      </c>
      <c r="E6" s="5">
        <f>'F-Sales Budget'!E8*'F-Budgeting Assumptions'!$B$13</f>
        <v>49500.000000000007</v>
      </c>
      <c r="F6" s="5">
        <f>'F-Sales Budget'!F8*'F-Budgeting Assumptions'!$B$13</f>
        <v>59400.000000000007</v>
      </c>
      <c r="G6" s="5">
        <f>'F-Sales Budget'!G8*'F-Budgeting Assumptions'!$B$13</f>
        <v>141075</v>
      </c>
      <c r="H6" s="5">
        <f>'F-Sales Budget'!H8*'F-Budgeting Assumptions'!$B$13</f>
        <v>164587.5</v>
      </c>
      <c r="I6" s="5">
        <f>'F-Sales Budget'!I8*'F-Budgeting Assumptions'!$B$13</f>
        <v>172012.5</v>
      </c>
      <c r="J6" s="5">
        <f>'F-Sales Budget'!J8*'F-Budgeting Assumptions'!$B$13</f>
        <v>115830.00000000001</v>
      </c>
      <c r="K6" s="5">
        <f>'F-Sales Budget'!K8*'F-Budgeting Assumptions'!$B$13</f>
        <v>90090</v>
      </c>
      <c r="L6" s="5">
        <f>'F-Sales Budget'!L8*'F-Budgeting Assumptions'!$B$13</f>
        <v>59400.000000000007</v>
      </c>
      <c r="M6" s="5">
        <f>'F-Sales Budget'!M8*'F-Budgeting Assumptions'!$B$13</f>
        <v>44550</v>
      </c>
      <c r="N6" s="5">
        <f>SUM(B6:M6)</f>
        <v>1010295</v>
      </c>
    </row>
    <row r="7" spans="1:14" ht="17.25" customHeight="1" x14ac:dyDescent="0.4">
      <c r="A7" s="1" t="s">
        <v>107</v>
      </c>
      <c r="B7" s="8">
        <f>C6*'F-Budgeting Assumptions'!$B$14</f>
        <v>7425.0000000000009</v>
      </c>
      <c r="C7" s="8">
        <f>D6*'F-Budgeting Assumptions'!$B$14</f>
        <v>11137.5</v>
      </c>
      <c r="D7" s="8">
        <f>E6*'F-Budgeting Assumptions'!$B$14</f>
        <v>12375.000000000002</v>
      </c>
      <c r="E7" s="8">
        <f>F6*'F-Budgeting Assumptions'!$B$14</f>
        <v>14850.000000000002</v>
      </c>
      <c r="F7" s="8">
        <f>G6*'F-Budgeting Assumptions'!$B$14</f>
        <v>35268.75</v>
      </c>
      <c r="G7" s="8">
        <f>H6*'F-Budgeting Assumptions'!$B$14</f>
        <v>41146.875</v>
      </c>
      <c r="H7" s="8">
        <f>I6*'F-Budgeting Assumptions'!$B$14</f>
        <v>43003.125</v>
      </c>
      <c r="I7" s="8">
        <f>J6*'F-Budgeting Assumptions'!$B$14</f>
        <v>28957.500000000004</v>
      </c>
      <c r="J7" s="8">
        <f>K6*'F-Budgeting Assumptions'!$B$14</f>
        <v>22522.5</v>
      </c>
      <c r="K7" s="8">
        <f>L6*'F-Budgeting Assumptions'!$B$14</f>
        <v>14850.000000000002</v>
      </c>
      <c r="L7" s="8">
        <f>M6*'F-Budgeting Assumptions'!$B$14</f>
        <v>11137.5</v>
      </c>
      <c r="M7" s="8">
        <v>12100</v>
      </c>
      <c r="N7" s="31">
        <f>M7</f>
        <v>12100</v>
      </c>
    </row>
    <row r="8" spans="1:14" ht="17.25" customHeight="1" x14ac:dyDescent="0.25">
      <c r="A8" s="15" t="s">
        <v>29</v>
      </c>
      <c r="B8" s="3">
        <f>SUM(B6:B7)</f>
        <v>47025</v>
      </c>
      <c r="C8" s="3">
        <f>SUM(C6:C7)</f>
        <v>40837.5</v>
      </c>
      <c r="D8" s="3">
        <f>SUM(D6:D7)</f>
        <v>56925</v>
      </c>
      <c r="E8" s="3">
        <f>SUM(E6:E7)</f>
        <v>64350.000000000007</v>
      </c>
      <c r="F8" s="3">
        <f>SUM(F6:F7)</f>
        <v>94668.75</v>
      </c>
      <c r="G8" s="3">
        <f t="shared" ref="G8:N8" si="0">SUM(G6:G7)</f>
        <v>182221.875</v>
      </c>
      <c r="H8" s="3">
        <f t="shared" si="0"/>
        <v>207590.625</v>
      </c>
      <c r="I8" s="3">
        <f t="shared" si="0"/>
        <v>200970</v>
      </c>
      <c r="J8" s="3">
        <f t="shared" si="0"/>
        <v>138352.5</v>
      </c>
      <c r="K8" s="3">
        <f t="shared" si="0"/>
        <v>104940</v>
      </c>
      <c r="L8" s="3">
        <f t="shared" si="0"/>
        <v>70537.5</v>
      </c>
      <c r="M8" s="3">
        <f t="shared" si="0"/>
        <v>56650</v>
      </c>
      <c r="N8" s="3">
        <f t="shared" si="0"/>
        <v>1022395</v>
      </c>
    </row>
    <row r="9" spans="1:14" ht="17.25" customHeight="1" x14ac:dyDescent="0.4">
      <c r="A9" s="1" t="s">
        <v>108</v>
      </c>
      <c r="B9" s="8">
        <f>'Beginning Balance Sheet'!B9</f>
        <v>13200</v>
      </c>
      <c r="C9" s="9">
        <f>B7</f>
        <v>7425.0000000000009</v>
      </c>
      <c r="D9" s="9">
        <f>C7</f>
        <v>11137.5</v>
      </c>
      <c r="E9" s="9">
        <f>D7</f>
        <v>12375.000000000002</v>
      </c>
      <c r="F9" s="9">
        <f>E7</f>
        <v>14850.000000000002</v>
      </c>
      <c r="G9" s="9">
        <f t="shared" ref="G9:M9" si="1">F7</f>
        <v>35268.75</v>
      </c>
      <c r="H9" s="9">
        <f t="shared" si="1"/>
        <v>41146.875</v>
      </c>
      <c r="I9" s="9">
        <f t="shared" si="1"/>
        <v>43003.125</v>
      </c>
      <c r="J9" s="9">
        <f t="shared" si="1"/>
        <v>28957.500000000004</v>
      </c>
      <c r="K9" s="9">
        <f t="shared" si="1"/>
        <v>22522.5</v>
      </c>
      <c r="L9" s="9">
        <f t="shared" si="1"/>
        <v>14850.000000000002</v>
      </c>
      <c r="M9" s="9">
        <f t="shared" si="1"/>
        <v>11137.5</v>
      </c>
      <c r="N9" s="19">
        <f>B9</f>
        <v>13200</v>
      </c>
    </row>
    <row r="10" spans="1:14" ht="17.25" customHeight="1" x14ac:dyDescent="0.4">
      <c r="A10" s="1" t="s">
        <v>109</v>
      </c>
      <c r="B10" s="4">
        <f>B8-B9</f>
        <v>33825</v>
      </c>
      <c r="C10" s="4">
        <f>C8-C9</f>
        <v>33412.5</v>
      </c>
      <c r="D10" s="4">
        <f>D8-D9</f>
        <v>45787.5</v>
      </c>
      <c r="E10" s="4">
        <f>E8-E9</f>
        <v>51975.000000000007</v>
      </c>
      <c r="F10" s="4">
        <f>F8-F9</f>
        <v>79818.75</v>
      </c>
      <c r="G10" s="4">
        <f t="shared" ref="G10:N10" si="2">G8-G9</f>
        <v>146953.125</v>
      </c>
      <c r="H10" s="4">
        <f t="shared" si="2"/>
        <v>166443.75</v>
      </c>
      <c r="I10" s="4">
        <f t="shared" si="2"/>
        <v>157966.875</v>
      </c>
      <c r="J10" s="4">
        <f t="shared" si="2"/>
        <v>109395</v>
      </c>
      <c r="K10" s="4">
        <f t="shared" si="2"/>
        <v>82417.5</v>
      </c>
      <c r="L10" s="4">
        <f t="shared" si="2"/>
        <v>55687.5</v>
      </c>
      <c r="M10" s="4">
        <f t="shared" si="2"/>
        <v>45512.5</v>
      </c>
      <c r="N10" s="4">
        <f t="shared" si="2"/>
        <v>1009195</v>
      </c>
    </row>
    <row r="11" spans="1:14" ht="17.25" customHeight="1" x14ac:dyDescent="0.25"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1"/>
    </row>
    <row r="12" spans="1:14" ht="17.25" customHeight="1" x14ac:dyDescent="0.25">
      <c r="N12" s="1"/>
    </row>
    <row r="13" spans="1:14" ht="17.25" customHeight="1" x14ac:dyDescent="0.3">
      <c r="A13" s="80" t="s">
        <v>113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</row>
    <row r="14" spans="1:14" ht="17.25" customHeight="1" x14ac:dyDescent="0.3">
      <c r="A14" s="15"/>
      <c r="B14" s="2" t="s">
        <v>80</v>
      </c>
      <c r="C14" s="2" t="s">
        <v>81</v>
      </c>
      <c r="D14" s="2" t="s">
        <v>82</v>
      </c>
      <c r="E14" s="2" t="s">
        <v>83</v>
      </c>
      <c r="F14" s="2" t="s">
        <v>99</v>
      </c>
      <c r="G14" s="2" t="s">
        <v>85</v>
      </c>
      <c r="H14" s="2" t="s">
        <v>86</v>
      </c>
      <c r="I14" s="2" t="s">
        <v>87</v>
      </c>
      <c r="J14" s="2" t="s">
        <v>88</v>
      </c>
      <c r="K14" s="2" t="s">
        <v>89</v>
      </c>
      <c r="L14" s="2" t="s">
        <v>90</v>
      </c>
      <c r="M14" s="2" t="s">
        <v>91</v>
      </c>
      <c r="N14" s="2" t="s">
        <v>53</v>
      </c>
    </row>
    <row r="15" spans="1:14" ht="17.25" customHeight="1" x14ac:dyDescent="0.25">
      <c r="A15" s="1" t="s">
        <v>110</v>
      </c>
      <c r="B15" s="5">
        <f>'Beginning Balance Sheet'!C19</f>
        <v>40000</v>
      </c>
      <c r="C15" s="11">
        <f>B10*'F-Budgeting Assumptions'!$B$16</f>
        <v>28751.25</v>
      </c>
      <c r="D15" s="11">
        <f>C10*'F-Budgeting Assumptions'!$B$16</f>
        <v>28400.625</v>
      </c>
      <c r="E15" s="11">
        <f>D10*'F-Budgeting Assumptions'!$B$16</f>
        <v>38919.375</v>
      </c>
      <c r="F15" s="11">
        <f>E10*'F-Budgeting Assumptions'!$B$16</f>
        <v>44178.750000000007</v>
      </c>
      <c r="G15" s="11">
        <f>F10*'F-Budgeting Assumptions'!$B$16</f>
        <v>67845.9375</v>
      </c>
      <c r="H15" s="11">
        <f>G10*'F-Budgeting Assumptions'!$B$16</f>
        <v>124910.15625</v>
      </c>
      <c r="I15" s="11">
        <f>H10*'F-Budgeting Assumptions'!$B$16</f>
        <v>141477.1875</v>
      </c>
      <c r="J15" s="11">
        <f>I10*'F-Budgeting Assumptions'!$B$16</f>
        <v>134271.84375</v>
      </c>
      <c r="K15" s="11">
        <f>J10*'F-Budgeting Assumptions'!$B$16</f>
        <v>92985.75</v>
      </c>
      <c r="L15" s="11">
        <f>K10*'F-Budgeting Assumptions'!$B$16</f>
        <v>70054.875</v>
      </c>
      <c r="M15" s="11">
        <f>L10*'F-Budgeting Assumptions'!$B$16</f>
        <v>47334.375</v>
      </c>
      <c r="N15" s="18">
        <f>SUM(B15:M15)</f>
        <v>859130.125</v>
      </c>
    </row>
    <row r="16" spans="1:14" ht="17.25" customHeight="1" x14ac:dyDescent="0.4">
      <c r="A16" s="1" t="s">
        <v>111</v>
      </c>
      <c r="B16" s="8">
        <f>B$10*'F-Budgeting Assumptions'!$B$15</f>
        <v>5073.75</v>
      </c>
      <c r="C16" s="8">
        <f>C$10*'F-Budgeting Assumptions'!$B$15</f>
        <v>5011.875</v>
      </c>
      <c r="D16" s="8">
        <f>D$10*'F-Budgeting Assumptions'!$B$15</f>
        <v>6868.125</v>
      </c>
      <c r="E16" s="8">
        <f>E$10*'F-Budgeting Assumptions'!$B$15</f>
        <v>7796.2500000000009</v>
      </c>
      <c r="F16" s="8">
        <f>F$10*'F-Budgeting Assumptions'!$B$15</f>
        <v>11972.8125</v>
      </c>
      <c r="G16" s="8">
        <f>G$10*'F-Budgeting Assumptions'!$B$15</f>
        <v>22042.96875</v>
      </c>
      <c r="H16" s="8">
        <f>H$10*'F-Budgeting Assumptions'!$B$15</f>
        <v>24966.5625</v>
      </c>
      <c r="I16" s="8">
        <f>I$10*'F-Budgeting Assumptions'!$B$15</f>
        <v>23695.03125</v>
      </c>
      <c r="J16" s="8">
        <f>J$10*'F-Budgeting Assumptions'!$B$15</f>
        <v>16409.25</v>
      </c>
      <c r="K16" s="8">
        <f>K$10*'F-Budgeting Assumptions'!$B$15</f>
        <v>12362.625</v>
      </c>
      <c r="L16" s="8">
        <f>L$10*'F-Budgeting Assumptions'!$B$15</f>
        <v>8353.125</v>
      </c>
      <c r="M16" s="8">
        <f>M$10*'F-Budgeting Assumptions'!$B$15</f>
        <v>6826.875</v>
      </c>
      <c r="N16" s="31">
        <f>SUM(B16:M16)</f>
        <v>151379.25</v>
      </c>
    </row>
    <row r="17" spans="1:14" ht="17.25" customHeight="1" x14ac:dyDescent="0.4">
      <c r="A17" s="1" t="s">
        <v>112</v>
      </c>
      <c r="B17" s="4">
        <f>SUM(B15:B16)</f>
        <v>45073.75</v>
      </c>
      <c r="C17" s="4">
        <f>SUM(C15:C16)</f>
        <v>33763.125</v>
      </c>
      <c r="D17" s="4">
        <f t="shared" ref="D17:N17" si="3">SUM(D15:D16)</f>
        <v>35268.75</v>
      </c>
      <c r="E17" s="4">
        <f t="shared" si="3"/>
        <v>46715.625</v>
      </c>
      <c r="F17" s="4">
        <f t="shared" si="3"/>
        <v>56151.562500000007</v>
      </c>
      <c r="G17" s="4">
        <f t="shared" si="3"/>
        <v>89888.90625</v>
      </c>
      <c r="H17" s="4">
        <f t="shared" si="3"/>
        <v>149876.71875</v>
      </c>
      <c r="I17" s="4">
        <f t="shared" si="3"/>
        <v>165172.21875</v>
      </c>
      <c r="J17" s="4">
        <f t="shared" si="3"/>
        <v>150681.09375</v>
      </c>
      <c r="K17" s="4">
        <f t="shared" si="3"/>
        <v>105348.375</v>
      </c>
      <c r="L17" s="4">
        <f t="shared" si="3"/>
        <v>78408</v>
      </c>
      <c r="M17" s="4">
        <f t="shared" si="3"/>
        <v>54161.25</v>
      </c>
      <c r="N17" s="4">
        <f t="shared" si="3"/>
        <v>1010509.375</v>
      </c>
    </row>
    <row r="18" spans="1:14" ht="17.25" customHeight="1" x14ac:dyDescent="0.25"/>
    <row r="19" spans="1:14" ht="17.25" customHeight="1" x14ac:dyDescent="0.25"/>
    <row r="20" spans="1:14" ht="17.25" customHeight="1" x14ac:dyDescent="0.25">
      <c r="A20" s="1" t="s">
        <v>128</v>
      </c>
    </row>
    <row r="21" spans="1:14" ht="17.25" customHeight="1" x14ac:dyDescent="0.25"/>
    <row r="22" spans="1:14" ht="17.25" customHeight="1" x14ac:dyDescent="0.25"/>
    <row r="23" spans="1:14" ht="17.25" customHeight="1" x14ac:dyDescent="0.25"/>
    <row r="24" spans="1:14" ht="17.25" customHeight="1" x14ac:dyDescent="0.25"/>
    <row r="25" spans="1:14" ht="17.25" customHeight="1" x14ac:dyDescent="0.25"/>
    <row r="26" spans="1:14" ht="17.25" customHeight="1" x14ac:dyDescent="0.25"/>
    <row r="27" spans="1:14" ht="17.25" customHeight="1" x14ac:dyDescent="0.25"/>
    <row r="28" spans="1:14" ht="17.25" customHeight="1" x14ac:dyDescent="0.25"/>
    <row r="29" spans="1:14" ht="17.25" customHeight="1" x14ac:dyDescent="0.25"/>
    <row r="30" spans="1:14" ht="17.25" customHeight="1" x14ac:dyDescent="0.25"/>
    <row r="31" spans="1:14" ht="17.25" customHeight="1" x14ac:dyDescent="0.25"/>
  </sheetData>
  <mergeCells count="4">
    <mergeCell ref="A1:N1"/>
    <mergeCell ref="A2:N2"/>
    <mergeCell ref="A3:N3"/>
    <mergeCell ref="A13:N13"/>
  </mergeCells>
  <pageMargins left="0.75" right="0.75" top="1" bottom="1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theme="8" tint="0.39997558519241921"/>
  </sheetPr>
  <dimension ref="A1:N18"/>
  <sheetViews>
    <sheetView workbookViewId="0">
      <selection activeCell="D31" sqref="D31"/>
    </sheetView>
  </sheetViews>
  <sheetFormatPr defaultRowHeight="13.2" x14ac:dyDescent="0.25"/>
  <cols>
    <col min="1" max="1" width="60.5546875" customWidth="1"/>
    <col min="2" max="13" width="15" customWidth="1"/>
    <col min="14" max="14" width="15.5546875" bestFit="1" customWidth="1"/>
  </cols>
  <sheetData>
    <row r="1" spans="1:14" ht="15.6" x14ac:dyDescent="0.3">
      <c r="A1" s="80" t="s">
        <v>77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ht="15.6" x14ac:dyDescent="0.3">
      <c r="A2" s="80" t="s">
        <v>146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ht="15.6" x14ac:dyDescent="0.3">
      <c r="A3" s="80" t="s">
        <v>95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4" ht="15" x14ac:dyDescent="0.25">
      <c r="A4" s="10"/>
      <c r="B4" s="5"/>
      <c r="C4" s="10"/>
      <c r="D4" s="10"/>
      <c r="E4" s="10"/>
      <c r="F4" s="10"/>
    </row>
    <row r="5" spans="1:14" ht="15.6" x14ac:dyDescent="0.3">
      <c r="A5" s="1"/>
      <c r="B5" s="2" t="s">
        <v>80</v>
      </c>
      <c r="C5" s="2" t="s">
        <v>81</v>
      </c>
      <c r="D5" s="2" t="s">
        <v>82</v>
      </c>
      <c r="E5" s="2" t="s">
        <v>83</v>
      </c>
      <c r="F5" s="2" t="s">
        <v>99</v>
      </c>
      <c r="G5" s="2" t="s">
        <v>85</v>
      </c>
      <c r="H5" s="2" t="s">
        <v>86</v>
      </c>
      <c r="I5" s="2" t="s">
        <v>87</v>
      </c>
      <c r="J5" s="2" t="s">
        <v>88</v>
      </c>
      <c r="K5" s="2" t="s">
        <v>89</v>
      </c>
      <c r="L5" s="2" t="s">
        <v>90</v>
      </c>
      <c r="M5" s="2" t="s">
        <v>91</v>
      </c>
      <c r="N5" s="2" t="s">
        <v>53</v>
      </c>
    </row>
    <row r="6" spans="1:14" ht="15" x14ac:dyDescent="0.25">
      <c r="A6" s="1" t="s">
        <v>114</v>
      </c>
      <c r="B6" s="3">
        <f>'M-Sales Budget'!B6</f>
        <v>900</v>
      </c>
      <c r="C6" s="3">
        <f>'M-Sales Budget'!C6</f>
        <v>700</v>
      </c>
      <c r="D6" s="3">
        <f>'M-Sales Budget'!D6</f>
        <v>1000</v>
      </c>
      <c r="E6" s="3">
        <f>'M-Sales Budget'!E6</f>
        <v>1100</v>
      </c>
      <c r="F6" s="3">
        <f>'M-Sales Budget'!F6</f>
        <v>1400</v>
      </c>
      <c r="G6" s="3">
        <f>'M-Sales Budget'!G6</f>
        <v>2500</v>
      </c>
      <c r="H6" s="3">
        <f>'M-Sales Budget'!H6</f>
        <v>3000</v>
      </c>
      <c r="I6" s="3">
        <f>'M-Sales Budget'!I6</f>
        <v>3200</v>
      </c>
      <c r="J6" s="3">
        <f>'M-Sales Budget'!J6</f>
        <v>2100</v>
      </c>
      <c r="K6" s="3">
        <f>'M-Sales Budget'!K6</f>
        <v>1600</v>
      </c>
      <c r="L6" s="3">
        <f>'M-Sales Budget'!L6</f>
        <v>1500</v>
      </c>
      <c r="M6" s="3">
        <f>'M-Sales Budget'!M6</f>
        <v>1100</v>
      </c>
      <c r="N6" s="34">
        <f>SUM(B6:M6)</f>
        <v>20100</v>
      </c>
    </row>
    <row r="7" spans="1:14" ht="16.8" x14ac:dyDescent="0.4">
      <c r="A7" s="1" t="s">
        <v>72</v>
      </c>
      <c r="B7" s="12">
        <f>+'M-Budgeting Assumptions'!$B$19</f>
        <v>8</v>
      </c>
      <c r="C7" s="12">
        <f>+'M-Budgeting Assumptions'!$B$19</f>
        <v>8</v>
      </c>
      <c r="D7" s="12">
        <f>+'M-Budgeting Assumptions'!$B$19</f>
        <v>8</v>
      </c>
      <c r="E7" s="12">
        <f>+'M-Budgeting Assumptions'!$B$19</f>
        <v>8</v>
      </c>
      <c r="F7" s="12">
        <f>+'M-Budgeting Assumptions'!$B$19</f>
        <v>8</v>
      </c>
      <c r="G7" s="12">
        <f>+'M-Budgeting Assumptions'!$B$19</f>
        <v>8</v>
      </c>
      <c r="H7" s="12">
        <f>+'M-Budgeting Assumptions'!$B$19</f>
        <v>8</v>
      </c>
      <c r="I7" s="12">
        <f>+'M-Budgeting Assumptions'!$B$19</f>
        <v>8</v>
      </c>
      <c r="J7" s="12">
        <f>+'M-Budgeting Assumptions'!$B$19</f>
        <v>8</v>
      </c>
      <c r="K7" s="12">
        <f>+'M-Budgeting Assumptions'!$B$19</f>
        <v>8</v>
      </c>
      <c r="L7" s="12">
        <f>+'M-Budgeting Assumptions'!$B$19</f>
        <v>8</v>
      </c>
      <c r="M7" s="12">
        <f>+'M-Budgeting Assumptions'!$B$19</f>
        <v>8</v>
      </c>
      <c r="N7" s="73">
        <f>M7</f>
        <v>8</v>
      </c>
    </row>
    <row r="8" spans="1:14" ht="16.8" x14ac:dyDescent="0.4">
      <c r="A8" s="1" t="s">
        <v>40</v>
      </c>
      <c r="B8" s="12">
        <f>B7*B6</f>
        <v>7200</v>
      </c>
      <c r="C8" s="12">
        <f>C7*C6</f>
        <v>5600</v>
      </c>
      <c r="D8" s="12">
        <f>D7*D6</f>
        <v>8000</v>
      </c>
      <c r="E8" s="12">
        <f>E7*E6</f>
        <v>8800</v>
      </c>
      <c r="F8" s="12">
        <f>F7*F6</f>
        <v>11200</v>
      </c>
      <c r="G8" s="12">
        <f t="shared" ref="G8:N8" si="0">G7*G6</f>
        <v>20000</v>
      </c>
      <c r="H8" s="12">
        <f t="shared" si="0"/>
        <v>24000</v>
      </c>
      <c r="I8" s="12">
        <f t="shared" si="0"/>
        <v>25600</v>
      </c>
      <c r="J8" s="12">
        <f t="shared" si="0"/>
        <v>16800</v>
      </c>
      <c r="K8" s="12">
        <f t="shared" si="0"/>
        <v>12800</v>
      </c>
      <c r="L8" s="12">
        <f t="shared" si="0"/>
        <v>12000</v>
      </c>
      <c r="M8" s="12">
        <f t="shared" si="0"/>
        <v>8800</v>
      </c>
      <c r="N8" s="12">
        <f t="shared" si="0"/>
        <v>160800</v>
      </c>
    </row>
    <row r="9" spans="1:14" ht="15" x14ac:dyDescent="0.25">
      <c r="A9" s="1" t="s">
        <v>41</v>
      </c>
      <c r="B9" s="5"/>
      <c r="C9" s="1"/>
      <c r="D9" s="1"/>
      <c r="E9" s="1"/>
      <c r="F9" s="1"/>
      <c r="N9" s="1"/>
    </row>
    <row r="10" spans="1:14" ht="15" x14ac:dyDescent="0.25">
      <c r="A10" s="14" t="s">
        <v>30</v>
      </c>
      <c r="B10" s="3">
        <f>+'M-Budgeting Assumptions'!$B$21</f>
        <v>15000</v>
      </c>
      <c r="C10" s="3">
        <f>+'M-Budgeting Assumptions'!$B$21</f>
        <v>15000</v>
      </c>
      <c r="D10" s="3">
        <f>+'M-Budgeting Assumptions'!$B$21</f>
        <v>15000</v>
      </c>
      <c r="E10" s="3">
        <f>+'M-Budgeting Assumptions'!$B$21</f>
        <v>15000</v>
      </c>
      <c r="F10" s="3">
        <f>+'M-Budgeting Assumptions'!$B$21</f>
        <v>15000</v>
      </c>
      <c r="G10" s="3">
        <f>+'M-Budgeting Assumptions'!$B$21</f>
        <v>15000</v>
      </c>
      <c r="H10" s="3">
        <f>+'M-Budgeting Assumptions'!$B$21</f>
        <v>15000</v>
      </c>
      <c r="I10" s="3">
        <f>+'M-Budgeting Assumptions'!$B$21</f>
        <v>15000</v>
      </c>
      <c r="J10" s="3">
        <f>+'M-Budgeting Assumptions'!$B$21</f>
        <v>15000</v>
      </c>
      <c r="K10" s="3">
        <f>+'M-Budgeting Assumptions'!$B$21</f>
        <v>15000</v>
      </c>
      <c r="L10" s="3">
        <f>+'M-Budgeting Assumptions'!$B$21</f>
        <v>15000</v>
      </c>
      <c r="M10" s="3">
        <f>+'M-Budgeting Assumptions'!$B$21</f>
        <v>15000</v>
      </c>
      <c r="N10" s="34">
        <f t="shared" ref="N10:N14" si="1">SUM(B10:M10)</f>
        <v>180000</v>
      </c>
    </row>
    <row r="11" spans="1:14" ht="15" x14ac:dyDescent="0.25">
      <c r="A11" s="14" t="s">
        <v>31</v>
      </c>
      <c r="B11" s="3">
        <f>+'M-Budgeting Assumptions'!$B$22</f>
        <v>20000</v>
      </c>
      <c r="C11" s="3">
        <f>+'M-Budgeting Assumptions'!$B$22</f>
        <v>20000</v>
      </c>
      <c r="D11" s="3">
        <f>+'M-Budgeting Assumptions'!$B$22</f>
        <v>20000</v>
      </c>
      <c r="E11" s="3">
        <f>+'M-Budgeting Assumptions'!$B$22</f>
        <v>20000</v>
      </c>
      <c r="F11" s="3">
        <f>+'M-Budgeting Assumptions'!$B$22</f>
        <v>20000</v>
      </c>
      <c r="G11" s="3">
        <f>+'M-Budgeting Assumptions'!$B$22</f>
        <v>20000</v>
      </c>
      <c r="H11" s="3">
        <f>+'M-Budgeting Assumptions'!$B$22</f>
        <v>20000</v>
      </c>
      <c r="I11" s="3">
        <f>+'M-Budgeting Assumptions'!$B$22</f>
        <v>20000</v>
      </c>
      <c r="J11" s="3">
        <f>+'M-Budgeting Assumptions'!$B$22</f>
        <v>20000</v>
      </c>
      <c r="K11" s="3">
        <f>+'M-Budgeting Assumptions'!$B$22</f>
        <v>20000</v>
      </c>
      <c r="L11" s="3">
        <f>+'M-Budgeting Assumptions'!$B$22</f>
        <v>20000</v>
      </c>
      <c r="M11" s="3">
        <f>+'M-Budgeting Assumptions'!$B$22</f>
        <v>20000</v>
      </c>
      <c r="N11" s="34">
        <f t="shared" si="1"/>
        <v>240000</v>
      </c>
    </row>
    <row r="12" spans="1:14" ht="15" x14ac:dyDescent="0.25">
      <c r="A12" s="14" t="s">
        <v>20</v>
      </c>
      <c r="B12" s="3">
        <f>+'M-Budgeting Assumptions'!$B$23</f>
        <v>6000</v>
      </c>
      <c r="C12" s="3">
        <f>+'M-Budgeting Assumptions'!$B$23</f>
        <v>6000</v>
      </c>
      <c r="D12" s="3">
        <f>+'M-Budgeting Assumptions'!$B$23</f>
        <v>6000</v>
      </c>
      <c r="E12" s="3">
        <f>+'M-Budgeting Assumptions'!$B$23</f>
        <v>6000</v>
      </c>
      <c r="F12" s="3">
        <f>+'M-Budgeting Assumptions'!$B$23</f>
        <v>6000</v>
      </c>
      <c r="G12" s="3">
        <f>+'M-Budgeting Assumptions'!$B$23</f>
        <v>6000</v>
      </c>
      <c r="H12" s="3">
        <f>+'M-Budgeting Assumptions'!$B$23</f>
        <v>6000</v>
      </c>
      <c r="I12" s="3">
        <f>+'M-Budgeting Assumptions'!$B$23</f>
        <v>6000</v>
      </c>
      <c r="J12" s="3">
        <f>+'M-Budgeting Assumptions'!$B$23</f>
        <v>6000</v>
      </c>
      <c r="K12" s="3">
        <f>+'M-Budgeting Assumptions'!$B$23</f>
        <v>6000</v>
      </c>
      <c r="L12" s="3">
        <f>+'M-Budgeting Assumptions'!$B$23</f>
        <v>6000</v>
      </c>
      <c r="M12" s="3">
        <f>+'M-Budgeting Assumptions'!$B$23</f>
        <v>6000</v>
      </c>
      <c r="N12" s="34">
        <f t="shared" si="1"/>
        <v>72000</v>
      </c>
    </row>
    <row r="13" spans="1:14" ht="15" x14ac:dyDescent="0.25">
      <c r="A13" s="14" t="s">
        <v>14</v>
      </c>
      <c r="B13" s="3">
        <f>+'M-Budgeting Assumptions'!$B$24</f>
        <v>5000</v>
      </c>
      <c r="C13" s="3">
        <f>+'M-Budgeting Assumptions'!$B$24</f>
        <v>5000</v>
      </c>
      <c r="D13" s="3">
        <f>+'M-Budgeting Assumptions'!$B$24</f>
        <v>5000</v>
      </c>
      <c r="E13" s="3">
        <f>+'M-Budgeting Assumptions'!$B$24</f>
        <v>5000</v>
      </c>
      <c r="F13" s="3">
        <f>+'M-Budgeting Assumptions'!$B$24</f>
        <v>5000</v>
      </c>
      <c r="G13" s="3">
        <f>+'M-Budgeting Assumptions'!$B$24</f>
        <v>5000</v>
      </c>
      <c r="H13" s="3">
        <f>+'M-Budgeting Assumptions'!$B$24</f>
        <v>5000</v>
      </c>
      <c r="I13" s="3">
        <f>+'M-Budgeting Assumptions'!$B$24</f>
        <v>5000</v>
      </c>
      <c r="J13" s="3">
        <f>+'M-Budgeting Assumptions'!$B$24</f>
        <v>5000</v>
      </c>
      <c r="K13" s="3">
        <f>+'M-Budgeting Assumptions'!$B$24</f>
        <v>5000</v>
      </c>
      <c r="L13" s="3">
        <f>+'M-Budgeting Assumptions'!$B$24</f>
        <v>5000</v>
      </c>
      <c r="M13" s="3">
        <f>+'M-Budgeting Assumptions'!$B$24</f>
        <v>5000</v>
      </c>
      <c r="N13" s="34">
        <f t="shared" si="1"/>
        <v>60000</v>
      </c>
    </row>
    <row r="14" spans="1:14" ht="16.8" x14ac:dyDescent="0.4">
      <c r="A14" s="14" t="s">
        <v>32</v>
      </c>
      <c r="B14" s="8">
        <f>+'M-Budgeting Assumptions'!$B$25</f>
        <v>8000</v>
      </c>
      <c r="C14" s="8">
        <f>+'M-Budgeting Assumptions'!$B$25</f>
        <v>8000</v>
      </c>
      <c r="D14" s="8">
        <f>+'M-Budgeting Assumptions'!$B$25</f>
        <v>8000</v>
      </c>
      <c r="E14" s="8">
        <f>+'M-Budgeting Assumptions'!$B$25</f>
        <v>8000</v>
      </c>
      <c r="F14" s="8">
        <f>+'M-Budgeting Assumptions'!$B$25</f>
        <v>8000</v>
      </c>
      <c r="G14" s="8">
        <f>+'M-Budgeting Assumptions'!$B$25</f>
        <v>8000</v>
      </c>
      <c r="H14" s="8">
        <f>+'M-Budgeting Assumptions'!$B$25</f>
        <v>8000</v>
      </c>
      <c r="I14" s="8">
        <f>+'M-Budgeting Assumptions'!$B$25</f>
        <v>8000</v>
      </c>
      <c r="J14" s="8">
        <f>+'M-Budgeting Assumptions'!$B$25</f>
        <v>8000</v>
      </c>
      <c r="K14" s="8">
        <f>+'M-Budgeting Assumptions'!$B$25</f>
        <v>8000</v>
      </c>
      <c r="L14" s="8">
        <f>+'M-Budgeting Assumptions'!$B$25</f>
        <v>8000</v>
      </c>
      <c r="M14" s="8">
        <f>+'M-Budgeting Assumptions'!$B$25</f>
        <v>8000</v>
      </c>
      <c r="N14" s="19">
        <f t="shared" si="1"/>
        <v>96000</v>
      </c>
    </row>
    <row r="15" spans="1:14" ht="16.8" x14ac:dyDescent="0.4">
      <c r="A15" s="15" t="s">
        <v>42</v>
      </c>
      <c r="B15" s="8">
        <f>SUM(B10:B14)</f>
        <v>54000</v>
      </c>
      <c r="C15" s="8">
        <f>SUM(C10:C14)</f>
        <v>54000</v>
      </c>
      <c r="D15" s="8">
        <f>SUM(D10:D14)</f>
        <v>54000</v>
      </c>
      <c r="E15" s="8">
        <f>SUM(E10:E14)</f>
        <v>54000</v>
      </c>
      <c r="F15" s="8">
        <f t="shared" ref="F15:N15" si="2">SUM(F10:F14)</f>
        <v>54000</v>
      </c>
      <c r="G15" s="8">
        <f t="shared" si="2"/>
        <v>54000</v>
      </c>
      <c r="H15" s="8">
        <f t="shared" si="2"/>
        <v>54000</v>
      </c>
      <c r="I15" s="8">
        <f t="shared" si="2"/>
        <v>54000</v>
      </c>
      <c r="J15" s="8">
        <f t="shared" si="2"/>
        <v>54000</v>
      </c>
      <c r="K15" s="8">
        <f t="shared" si="2"/>
        <v>54000</v>
      </c>
      <c r="L15" s="8">
        <f t="shared" si="2"/>
        <v>54000</v>
      </c>
      <c r="M15" s="8">
        <f t="shared" si="2"/>
        <v>54000</v>
      </c>
      <c r="N15" s="8">
        <f t="shared" si="2"/>
        <v>648000</v>
      </c>
    </row>
    <row r="16" spans="1:14" ht="15" x14ac:dyDescent="0.25">
      <c r="A16" s="1" t="s">
        <v>43</v>
      </c>
      <c r="B16" s="3">
        <f>B8+B15</f>
        <v>61200</v>
      </c>
      <c r="C16" s="3">
        <f>C8+C15</f>
        <v>59600</v>
      </c>
      <c r="D16" s="3">
        <f>D8+D15</f>
        <v>62000</v>
      </c>
      <c r="E16" s="3">
        <f>E8+E15</f>
        <v>62800</v>
      </c>
      <c r="F16" s="3">
        <f t="shared" ref="F16:N16" si="3">F8+F15</f>
        <v>65200</v>
      </c>
      <c r="G16" s="3">
        <f t="shared" si="3"/>
        <v>74000</v>
      </c>
      <c r="H16" s="3">
        <f t="shared" si="3"/>
        <v>78000</v>
      </c>
      <c r="I16" s="3">
        <f t="shared" si="3"/>
        <v>79600</v>
      </c>
      <c r="J16" s="3">
        <f t="shared" si="3"/>
        <v>70800</v>
      </c>
      <c r="K16" s="3">
        <f t="shared" si="3"/>
        <v>66800</v>
      </c>
      <c r="L16" s="3">
        <f t="shared" si="3"/>
        <v>66000</v>
      </c>
      <c r="M16" s="3">
        <f t="shared" si="3"/>
        <v>62800</v>
      </c>
      <c r="N16" s="3">
        <f t="shared" si="3"/>
        <v>808800</v>
      </c>
    </row>
    <row r="17" spans="1:14" ht="16.8" x14ac:dyDescent="0.4">
      <c r="A17" s="1" t="s">
        <v>2</v>
      </c>
      <c r="B17" s="8">
        <f>B14</f>
        <v>8000</v>
      </c>
      <c r="C17" s="8">
        <f>C14</f>
        <v>8000</v>
      </c>
      <c r="D17" s="8">
        <f>D14</f>
        <v>8000</v>
      </c>
      <c r="E17" s="8">
        <f>E14</f>
        <v>8000</v>
      </c>
      <c r="F17" s="8">
        <f t="shared" ref="F17:M17" si="4">F14</f>
        <v>8000</v>
      </c>
      <c r="G17" s="8">
        <f t="shared" si="4"/>
        <v>8000</v>
      </c>
      <c r="H17" s="8">
        <f t="shared" si="4"/>
        <v>8000</v>
      </c>
      <c r="I17" s="8">
        <f t="shared" si="4"/>
        <v>8000</v>
      </c>
      <c r="J17" s="8">
        <f t="shared" si="4"/>
        <v>8000</v>
      </c>
      <c r="K17" s="8">
        <f t="shared" si="4"/>
        <v>8000</v>
      </c>
      <c r="L17" s="8">
        <f t="shared" si="4"/>
        <v>8000</v>
      </c>
      <c r="M17" s="8">
        <f t="shared" si="4"/>
        <v>8000</v>
      </c>
      <c r="N17" s="8">
        <f t="shared" ref="N17" si="5">N14</f>
        <v>96000</v>
      </c>
    </row>
    <row r="18" spans="1:14" ht="16.8" x14ac:dyDescent="0.4">
      <c r="A18" s="1" t="s">
        <v>3</v>
      </c>
      <c r="B18" s="4">
        <f>B16-B17</f>
        <v>53200</v>
      </c>
      <c r="C18" s="4">
        <f>C16-C17</f>
        <v>51600</v>
      </c>
      <c r="D18" s="4">
        <f>D16-D17</f>
        <v>54000</v>
      </c>
      <c r="E18" s="4">
        <f>E16-E17</f>
        <v>54800</v>
      </c>
      <c r="F18" s="4">
        <f t="shared" ref="F18:N18" si="6">F16-F17</f>
        <v>57200</v>
      </c>
      <c r="G18" s="4">
        <f t="shared" si="6"/>
        <v>66000</v>
      </c>
      <c r="H18" s="4">
        <f t="shared" si="6"/>
        <v>70000</v>
      </c>
      <c r="I18" s="4">
        <f t="shared" si="6"/>
        <v>71600</v>
      </c>
      <c r="J18" s="4">
        <f t="shared" si="6"/>
        <v>62800</v>
      </c>
      <c r="K18" s="4">
        <f t="shared" si="6"/>
        <v>58800</v>
      </c>
      <c r="L18" s="4">
        <f t="shared" si="6"/>
        <v>58000</v>
      </c>
      <c r="M18" s="4">
        <f t="shared" si="6"/>
        <v>54800</v>
      </c>
      <c r="N18" s="4">
        <f t="shared" si="6"/>
        <v>712800</v>
      </c>
    </row>
  </sheetData>
  <mergeCells count="3">
    <mergeCell ref="A1:N1"/>
    <mergeCell ref="A2:N2"/>
    <mergeCell ref="A3:N3"/>
  </mergeCells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BFDF989BE7FA42A8531A2483A498B5" ma:contentTypeVersion="15" ma:contentTypeDescription="Create a new document." ma:contentTypeScope="" ma:versionID="f7c5ec8c3d3868deaf519248bf783bfe">
  <xsd:schema xmlns:xsd="http://www.w3.org/2001/XMLSchema" xmlns:xs="http://www.w3.org/2001/XMLSchema" xmlns:p="http://schemas.microsoft.com/office/2006/metadata/properties" xmlns:ns2="60edea94-17e0-49b5-815a-95031838ec3a" xmlns:ns3="a74f5152-7f6a-4bd4-b869-6771941dbf7f" targetNamespace="http://schemas.microsoft.com/office/2006/metadata/properties" ma:root="true" ma:fieldsID="e12346a7f9771cd4ab8f51b347f39569" ns2:_="" ns3:_="">
    <xsd:import namespace="60edea94-17e0-49b5-815a-95031838ec3a"/>
    <xsd:import namespace="a74f5152-7f6a-4bd4-b869-6771941dbf7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edea94-17e0-49b5-815a-95031838ec3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7febd05-8df2-4d9c-9416-8735ea88008b}" ma:internalName="TaxCatchAll" ma:showField="CatchAllData" ma:web="60edea94-17e0-49b5-815a-95031838ec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4f5152-7f6a-4bd4-b869-6771941db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b8617a1-beef-4e24-867f-51551f54cf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0edea94-17e0-49b5-815a-95031838ec3a" xsi:nil="true"/>
    <lcf76f155ced4ddcb4097134ff3c332f xmlns="a74f5152-7f6a-4bd4-b869-6771941dbf7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AB6AC6F-80BB-46C7-B169-BEBB5A8B85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EC141F-C5C1-4BE7-BBB4-59080918DF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edea94-17e0-49b5-815a-95031838ec3a"/>
    <ds:schemaRef ds:uri="a74f5152-7f6a-4bd4-b869-6771941dbf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7FFF32B-EC33-4C38-919D-163ED13AD68E}">
  <ds:schemaRefs>
    <ds:schemaRef ds:uri="http://schemas.microsoft.com/office/2006/metadata/properties"/>
    <ds:schemaRef ds:uri="http://schemas.microsoft.com/office/infopath/2007/PartnerControls"/>
    <ds:schemaRef ds:uri="60edea94-17e0-49b5-815a-95031838ec3a"/>
    <ds:schemaRef ds:uri="a74f5152-7f6a-4bd4-b869-6771941dbf7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Budget Launch Page</vt:lpstr>
      <vt:lpstr>Beginning Balance Sheet</vt:lpstr>
      <vt:lpstr>M-Budgeting Assumptions</vt:lpstr>
      <vt:lpstr>F-Budgeting Assumptions</vt:lpstr>
      <vt:lpstr>M-Sales Budget</vt:lpstr>
      <vt:lpstr>F-Sales Budget</vt:lpstr>
      <vt:lpstr>M-Merchandise Purchases Budget</vt:lpstr>
      <vt:lpstr>F-Merchandise Purchases Budget</vt:lpstr>
      <vt:lpstr>M-Selling &amp; Admin Budget</vt:lpstr>
      <vt:lpstr>F-Selling &amp; Admin Budget</vt:lpstr>
      <vt:lpstr>M-Cash Budget</vt:lpstr>
      <vt:lpstr>F-Cash Budget</vt:lpstr>
      <vt:lpstr>Actual Cash Flows</vt:lpstr>
      <vt:lpstr>M-Budgeted Income Statements</vt:lpstr>
      <vt:lpstr>F-Budgeted Income Statements</vt:lpstr>
      <vt:lpstr>Actual Income Statements</vt:lpstr>
      <vt:lpstr>M-Budgeted Balance Sheets</vt:lpstr>
      <vt:lpstr>F-Budgeted Balance Sheets</vt:lpstr>
      <vt:lpstr>Actual Balance Sheets</vt:lpstr>
      <vt:lpstr>Sheet2</vt:lpstr>
      <vt:lpstr>Income Statement Charts</vt:lpstr>
      <vt:lpstr>Sheet1</vt:lpstr>
      <vt:lpstr>Other Charts</vt:lpstr>
      <vt:lpstr>Charts Tutorial</vt:lpstr>
    </vt:vector>
  </TitlesOfParts>
  <Company>INSEAD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Joos</dc:creator>
  <cp:lastModifiedBy>Dinesh Adikesavan</cp:lastModifiedBy>
  <cp:lastPrinted>2016-03-17T14:59:58Z</cp:lastPrinted>
  <dcterms:created xsi:type="dcterms:W3CDTF">1999-11-08T15:03:08Z</dcterms:created>
  <dcterms:modified xsi:type="dcterms:W3CDTF">2024-11-14T08:16:18Z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0x01010051BFDF989BE7FA42A8531A2483A498B5</vt:lpwstr>
  </property>
</Properties>
</file>