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eot\Desktop\Garrison 18e Excel Analytics\"/>
    </mc:Choice>
  </mc:AlternateContent>
  <xr:revisionPtr revIDLastSave="0" documentId="13_ncr:1_{08588637-9279-412C-AA64-0216D27BB4A9}" xr6:coauthVersionLast="47" xr6:coauthVersionMax="47" xr10:uidLastSave="{00000000-0000-0000-0000-000000000000}"/>
  <bookViews>
    <workbookView xWindow="-108" yWindow="-108" windowWidth="23256" windowHeight="12456" tabRatio="930" xr2:uid="{00000000-000D-0000-FFFF-FFFF00000000}"/>
  </bookViews>
  <sheets>
    <sheet name="Budget Launch Page" sheetId="64" r:id="rId1"/>
    <sheet name="Beginning Balance Sheet" sheetId="58" r:id="rId2"/>
    <sheet name="Budgeting Assumptions" sheetId="55" r:id="rId3"/>
    <sheet name="Sales Budget" sheetId="45" r:id="rId4"/>
    <sheet name="Merchandise Purchases Budget" sheetId="46" r:id="rId5"/>
    <sheet name="Selling &amp; Admin Budget" sheetId="51" r:id="rId6"/>
    <sheet name="Cash Budget" sheetId="52" r:id="rId7"/>
    <sheet name="Budgeted Income Statements" sheetId="53" r:id="rId8"/>
    <sheet name="Budgeted Balance Sheets" sheetId="54" r:id="rId9"/>
    <sheet name="Cash Flow vs. Net Income" sheetId="79" r:id="rId10"/>
    <sheet name="Charts Tutorial" sheetId="7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5" l="1"/>
  <c r="N7" i="46" l="1"/>
  <c r="M25" i="54"/>
  <c r="L25" i="54"/>
  <c r="K25" i="54"/>
  <c r="J25" i="54"/>
  <c r="I25" i="54"/>
  <c r="H25" i="54"/>
  <c r="G25" i="54"/>
  <c r="F25" i="54"/>
  <c r="E25" i="54"/>
  <c r="D25" i="54"/>
  <c r="C25" i="54"/>
  <c r="B25" i="54"/>
  <c r="M13" i="54"/>
  <c r="L13" i="54"/>
  <c r="K13" i="54"/>
  <c r="J13" i="54"/>
  <c r="I13" i="54"/>
  <c r="H13" i="54"/>
  <c r="G13" i="54"/>
  <c r="F13" i="54"/>
  <c r="E13" i="54"/>
  <c r="D13" i="54"/>
  <c r="C13" i="54"/>
  <c r="B13" i="54"/>
  <c r="M10" i="54"/>
  <c r="B14" i="54" l="1"/>
  <c r="C14" i="54" s="1"/>
  <c r="B6" i="52"/>
  <c r="N6" i="52" s="1"/>
  <c r="M14" i="51"/>
  <c r="M17" i="51" s="1"/>
  <c r="L14" i="51"/>
  <c r="L17" i="51" s="1"/>
  <c r="K14" i="51"/>
  <c r="K17" i="51" s="1"/>
  <c r="J14" i="51"/>
  <c r="J17" i="51" s="1"/>
  <c r="I14" i="51"/>
  <c r="I17" i="51" s="1"/>
  <c r="H14" i="51"/>
  <c r="H17" i="51" s="1"/>
  <c r="G14" i="51"/>
  <c r="G17" i="51" s="1"/>
  <c r="F14" i="51"/>
  <c r="F17" i="51" s="1"/>
  <c r="M13" i="51"/>
  <c r="L13" i="51"/>
  <c r="K13" i="51"/>
  <c r="J13" i="51"/>
  <c r="I13" i="51"/>
  <c r="H13" i="51"/>
  <c r="G13" i="51"/>
  <c r="F13" i="51"/>
  <c r="M12" i="51"/>
  <c r="L12" i="51"/>
  <c r="K12" i="51"/>
  <c r="J12" i="51"/>
  <c r="I12" i="51"/>
  <c r="H12" i="51"/>
  <c r="G12" i="51"/>
  <c r="F12" i="51"/>
  <c r="M11" i="51"/>
  <c r="L11" i="51"/>
  <c r="K11" i="51"/>
  <c r="J11" i="51"/>
  <c r="I11" i="51"/>
  <c r="H11" i="51"/>
  <c r="G11" i="51"/>
  <c r="F11" i="51"/>
  <c r="M10" i="51"/>
  <c r="M15" i="51" s="1"/>
  <c r="L10" i="51"/>
  <c r="K10" i="51"/>
  <c r="J10" i="51"/>
  <c r="I10" i="51"/>
  <c r="H10" i="51"/>
  <c r="H15" i="51" s="1"/>
  <c r="G10" i="51"/>
  <c r="G15" i="51" s="1"/>
  <c r="F10" i="51"/>
  <c r="F15" i="51" s="1"/>
  <c r="M7" i="51"/>
  <c r="N7" i="51" s="1"/>
  <c r="L7" i="51"/>
  <c r="K7" i="51"/>
  <c r="J7" i="51"/>
  <c r="I7" i="51"/>
  <c r="H7" i="51"/>
  <c r="G7" i="51"/>
  <c r="F7" i="51"/>
  <c r="E7" i="51"/>
  <c r="D7" i="51"/>
  <c r="C7" i="51"/>
  <c r="D6" i="51"/>
  <c r="B15" i="46"/>
  <c r="B9" i="46"/>
  <c r="N9" i="46" s="1"/>
  <c r="B13" i="45"/>
  <c r="M7" i="45"/>
  <c r="L7" i="45"/>
  <c r="K7" i="45"/>
  <c r="J7" i="45"/>
  <c r="I7" i="45"/>
  <c r="H7" i="45"/>
  <c r="G7" i="45"/>
  <c r="F7" i="45"/>
  <c r="E7" i="45"/>
  <c r="D7" i="45"/>
  <c r="C7" i="45"/>
  <c r="M6" i="45"/>
  <c r="M6" i="51" s="1"/>
  <c r="L6" i="45"/>
  <c r="L6" i="51" s="1"/>
  <c r="K6" i="45"/>
  <c r="K6" i="51" s="1"/>
  <c r="J6" i="45"/>
  <c r="J6" i="51" s="1"/>
  <c r="I6" i="45"/>
  <c r="I6" i="51" s="1"/>
  <c r="H6" i="45"/>
  <c r="H6" i="51" s="1"/>
  <c r="G6" i="45"/>
  <c r="G6" i="51" s="1"/>
  <c r="F6" i="45"/>
  <c r="F6" i="51" s="1"/>
  <c r="E6" i="45"/>
  <c r="E6" i="51" s="1"/>
  <c r="C6" i="45"/>
  <c r="C6" i="51" s="1"/>
  <c r="B6" i="45"/>
  <c r="B6" i="51" l="1"/>
  <c r="N6" i="51" s="1"/>
  <c r="N8" i="51" s="1"/>
  <c r="N6" i="45"/>
  <c r="N8" i="45" s="1"/>
  <c r="L15" i="51"/>
  <c r="H8" i="51"/>
  <c r="H16" i="51" s="1"/>
  <c r="L8" i="51"/>
  <c r="C15" i="54"/>
  <c r="D14" i="54"/>
  <c r="B15" i="54"/>
  <c r="I15" i="51"/>
  <c r="M8" i="51"/>
  <c r="M16" i="51" s="1"/>
  <c r="I8" i="51"/>
  <c r="J15" i="51"/>
  <c r="K15" i="51"/>
  <c r="J8" i="51"/>
  <c r="G8" i="51"/>
  <c r="G16" i="51" s="1"/>
  <c r="K8" i="51"/>
  <c r="K16" i="51" s="1"/>
  <c r="H8" i="45"/>
  <c r="L8" i="45"/>
  <c r="K8" i="45"/>
  <c r="I8" i="45"/>
  <c r="M8" i="45"/>
  <c r="G8" i="45"/>
  <c r="F8" i="45"/>
  <c r="J8" i="45"/>
  <c r="I16" i="51" l="1"/>
  <c r="L16" i="51"/>
  <c r="G9" i="54"/>
  <c r="G7" i="53"/>
  <c r="J9" i="54"/>
  <c r="J7" i="53"/>
  <c r="I6" i="46"/>
  <c r="H7" i="46" s="1"/>
  <c r="I9" i="54"/>
  <c r="I7" i="53"/>
  <c r="F6" i="46"/>
  <c r="E7" i="46" s="1"/>
  <c r="F9" i="54"/>
  <c r="F7" i="53"/>
  <c r="K6" i="46"/>
  <c r="J7" i="46" s="1"/>
  <c r="K9" i="54"/>
  <c r="K7" i="53"/>
  <c r="L6" i="46"/>
  <c r="K7" i="46" s="1"/>
  <c r="L9" i="54"/>
  <c r="L7" i="53"/>
  <c r="L8" i="53" s="1"/>
  <c r="L9" i="53" s="1"/>
  <c r="M9" i="54"/>
  <c r="M7" i="53"/>
  <c r="M8" i="53" s="1"/>
  <c r="M9" i="53" s="1"/>
  <c r="H6" i="46"/>
  <c r="G7" i="46" s="1"/>
  <c r="H9" i="54"/>
  <c r="H7" i="53"/>
  <c r="H8" i="53" s="1"/>
  <c r="H9" i="53" s="1"/>
  <c r="D15" i="54"/>
  <c r="E14" i="54"/>
  <c r="I18" i="51"/>
  <c r="I12" i="52" s="1"/>
  <c r="I10" i="53"/>
  <c r="G18" i="51"/>
  <c r="G12" i="52" s="1"/>
  <c r="G10" i="53"/>
  <c r="H18" i="51"/>
  <c r="H12" i="52" s="1"/>
  <c r="H10" i="53"/>
  <c r="H11" i="53" s="1"/>
  <c r="L18" i="51"/>
  <c r="L12" i="52" s="1"/>
  <c r="L10" i="53"/>
  <c r="K18" i="51"/>
  <c r="K12" i="52" s="1"/>
  <c r="K10" i="53"/>
  <c r="M18" i="51"/>
  <c r="M12" i="52" s="1"/>
  <c r="M10" i="53"/>
  <c r="M13" i="45"/>
  <c r="K14" i="45"/>
  <c r="H14" i="45"/>
  <c r="J16" i="51"/>
  <c r="I13" i="45"/>
  <c r="I14" i="45"/>
  <c r="F14" i="45"/>
  <c r="J14" i="45"/>
  <c r="J6" i="46"/>
  <c r="M14" i="45"/>
  <c r="M6" i="46"/>
  <c r="K13" i="45"/>
  <c r="L14" i="45"/>
  <c r="G13" i="45"/>
  <c r="J13" i="45"/>
  <c r="L13" i="45"/>
  <c r="G14" i="45"/>
  <c r="G6" i="46"/>
  <c r="H13" i="45"/>
  <c r="K15" i="45" l="1"/>
  <c r="K8" i="52" s="1"/>
  <c r="L11" i="53"/>
  <c r="H15" i="45"/>
  <c r="H8" i="52" s="1"/>
  <c r="L9" i="46"/>
  <c r="K10" i="54"/>
  <c r="F8" i="53"/>
  <c r="F9" i="53" s="1"/>
  <c r="G8" i="53"/>
  <c r="G9" i="53" s="1"/>
  <c r="G11" i="53" s="1"/>
  <c r="K9" i="46"/>
  <c r="J10" i="54"/>
  <c r="K8" i="53"/>
  <c r="K9" i="53" s="1"/>
  <c r="K11" i="53" s="1"/>
  <c r="F9" i="46"/>
  <c r="E10" i="54"/>
  <c r="J8" i="53"/>
  <c r="J9" i="53" s="1"/>
  <c r="I9" i="46"/>
  <c r="H10" i="54"/>
  <c r="H9" i="46"/>
  <c r="G10" i="54"/>
  <c r="H8" i="46"/>
  <c r="M11" i="53"/>
  <c r="I8" i="53"/>
  <c r="I9" i="53" s="1"/>
  <c r="I11" i="53" s="1"/>
  <c r="F14" i="54"/>
  <c r="E15" i="54"/>
  <c r="J18" i="51"/>
  <c r="J12" i="52" s="1"/>
  <c r="J10" i="53"/>
  <c r="M15" i="45"/>
  <c r="M8" i="52" s="1"/>
  <c r="I15" i="45"/>
  <c r="I8" i="52" s="1"/>
  <c r="G15" i="45"/>
  <c r="G8" i="52" s="1"/>
  <c r="L15" i="45"/>
  <c r="L8" i="52" s="1"/>
  <c r="J15" i="45"/>
  <c r="J8" i="52" s="1"/>
  <c r="L7" i="46"/>
  <c r="L10" i="54" s="1"/>
  <c r="M8" i="46"/>
  <c r="I7" i="46"/>
  <c r="I10" i="54" s="1"/>
  <c r="J8" i="46"/>
  <c r="K8" i="46"/>
  <c r="G8" i="46"/>
  <c r="F7" i="46"/>
  <c r="K10" i="46" l="1"/>
  <c r="K20" i="54" s="1"/>
  <c r="H10" i="46"/>
  <c r="H20" i="54" s="1"/>
  <c r="G9" i="46"/>
  <c r="G10" i="46" s="1"/>
  <c r="G20" i="54" s="1"/>
  <c r="F10" i="54"/>
  <c r="J11" i="53"/>
  <c r="G14" i="54"/>
  <c r="F15" i="54"/>
  <c r="K16" i="46"/>
  <c r="L15" i="46"/>
  <c r="J9" i="46"/>
  <c r="J10" i="46" s="1"/>
  <c r="J20" i="54" s="1"/>
  <c r="I8" i="46"/>
  <c r="I10" i="46" s="1"/>
  <c r="I20" i="54" s="1"/>
  <c r="M9" i="46"/>
  <c r="M10" i="46" s="1"/>
  <c r="L8" i="46"/>
  <c r="L10" i="46" s="1"/>
  <c r="L20" i="54" s="1"/>
  <c r="C23" i="58"/>
  <c r="C24" i="58" s="1"/>
  <c r="C14" i="58"/>
  <c r="C10" i="58"/>
  <c r="B7" i="45"/>
  <c r="I15" i="46" l="1"/>
  <c r="H16" i="46"/>
  <c r="M16" i="46"/>
  <c r="M20" i="54"/>
  <c r="H14" i="54"/>
  <c r="G15" i="54"/>
  <c r="G16" i="46"/>
  <c r="H15" i="46"/>
  <c r="K15" i="46"/>
  <c r="K17" i="46" s="1"/>
  <c r="K11" i="52" s="1"/>
  <c r="K13" i="52" s="1"/>
  <c r="K6" i="79" s="1"/>
  <c r="J16" i="46"/>
  <c r="M15" i="46"/>
  <c r="L16" i="46"/>
  <c r="L17" i="46" s="1"/>
  <c r="L11" i="52" s="1"/>
  <c r="L13" i="52" s="1"/>
  <c r="L6" i="79" s="1"/>
  <c r="I16" i="46"/>
  <c r="I17" i="46" s="1"/>
  <c r="I11" i="52" s="1"/>
  <c r="I13" i="52" s="1"/>
  <c r="I6" i="79" s="1"/>
  <c r="J15" i="46"/>
  <c r="C15" i="58"/>
  <c r="M17" i="46" l="1"/>
  <c r="M11" i="52" s="1"/>
  <c r="M13" i="52" s="1"/>
  <c r="H17" i="46"/>
  <c r="H11" i="52" s="1"/>
  <c r="H13" i="52" s="1"/>
  <c r="H6" i="79" s="1"/>
  <c r="I14" i="54"/>
  <c r="H15" i="54"/>
  <c r="J17" i="46"/>
  <c r="J11" i="52" s="1"/>
  <c r="J13" i="52" s="1"/>
  <c r="J6" i="79" s="1"/>
  <c r="E14" i="51"/>
  <c r="D14" i="51"/>
  <c r="C14" i="51"/>
  <c r="B14" i="51"/>
  <c r="E13" i="51"/>
  <c r="D13" i="51"/>
  <c r="C13" i="51"/>
  <c r="B13" i="51"/>
  <c r="N13" i="51" s="1"/>
  <c r="E12" i="51"/>
  <c r="D12" i="51"/>
  <c r="C12" i="51"/>
  <c r="B12" i="51"/>
  <c r="E11" i="51"/>
  <c r="D11" i="51"/>
  <c r="C11" i="51"/>
  <c r="B11" i="51"/>
  <c r="N11" i="51" s="1"/>
  <c r="E10" i="51"/>
  <c r="D10" i="51"/>
  <c r="C10" i="51"/>
  <c r="B10" i="51"/>
  <c r="B7" i="51"/>
  <c r="N10" i="51" l="1"/>
  <c r="N12" i="51"/>
  <c r="N14" i="51"/>
  <c r="N17" i="51" s="1"/>
  <c r="I15" i="54"/>
  <c r="J14" i="54"/>
  <c r="C8" i="45"/>
  <c r="B8" i="45"/>
  <c r="B15" i="51"/>
  <c r="B17" i="51"/>
  <c r="C15" i="51"/>
  <c r="C17" i="51"/>
  <c r="D15" i="51"/>
  <c r="D17" i="51"/>
  <c r="E15" i="51"/>
  <c r="E17" i="51"/>
  <c r="N15" i="51" l="1"/>
  <c r="N16" i="51" s="1"/>
  <c r="N18" i="51" s="1"/>
  <c r="B6" i="46"/>
  <c r="B9" i="54"/>
  <c r="B7" i="53"/>
  <c r="C6" i="46"/>
  <c r="B7" i="46" s="1"/>
  <c r="B10" i="54" s="1"/>
  <c r="C9" i="54"/>
  <c r="C7" i="53"/>
  <c r="K14" i="54"/>
  <c r="J15" i="54"/>
  <c r="D13" i="45"/>
  <c r="C14" i="45"/>
  <c r="B14" i="45"/>
  <c r="C13" i="45"/>
  <c r="D8" i="51"/>
  <c r="D16" i="51" s="1"/>
  <c r="D8" i="45"/>
  <c r="C8" i="51"/>
  <c r="C16" i="51" s="1"/>
  <c r="E8" i="45"/>
  <c r="D6" i="46" l="1"/>
  <c r="C7" i="46" s="1"/>
  <c r="C8" i="46" s="1"/>
  <c r="D9" i="54"/>
  <c r="D7" i="53"/>
  <c r="D8" i="53" s="1"/>
  <c r="D9" i="53" s="1"/>
  <c r="C15" i="45"/>
  <c r="C8" i="52" s="1"/>
  <c r="B15" i="45"/>
  <c r="B8" i="52" s="1"/>
  <c r="C8" i="53"/>
  <c r="C9" i="53" s="1"/>
  <c r="B8" i="53"/>
  <c r="E6" i="46"/>
  <c r="D7" i="46" s="1"/>
  <c r="D8" i="46" s="1"/>
  <c r="E9" i="54"/>
  <c r="E7" i="53"/>
  <c r="E8" i="53" s="1"/>
  <c r="E9" i="53" s="1"/>
  <c r="K15" i="54"/>
  <c r="L14" i="54"/>
  <c r="D18" i="51"/>
  <c r="D12" i="52" s="1"/>
  <c r="D10" i="53"/>
  <c r="C18" i="51"/>
  <c r="C12" i="52" s="1"/>
  <c r="C10" i="53"/>
  <c r="E14" i="45"/>
  <c r="F13" i="45"/>
  <c r="F15" i="45" s="1"/>
  <c r="F8" i="52" s="1"/>
  <c r="E13" i="45"/>
  <c r="D14" i="45"/>
  <c r="D15" i="45" s="1"/>
  <c r="D8" i="52" s="1"/>
  <c r="C9" i="46"/>
  <c r="B8" i="51"/>
  <c r="B16" i="51" s="1"/>
  <c r="B10" i="53" s="1"/>
  <c r="F8" i="51"/>
  <c r="F16" i="51" s="1"/>
  <c r="E8" i="51"/>
  <c r="E16" i="51" s="1"/>
  <c r="D11" i="53" l="1"/>
  <c r="N14" i="45"/>
  <c r="N13" i="45"/>
  <c r="N8" i="53"/>
  <c r="E9" i="46"/>
  <c r="D10" i="54"/>
  <c r="N6" i="46"/>
  <c r="N8" i="46" s="1"/>
  <c r="N10" i="46" s="1"/>
  <c r="E8" i="46"/>
  <c r="N7" i="53"/>
  <c r="C11" i="53"/>
  <c r="D9" i="46"/>
  <c r="D10" i="46" s="1"/>
  <c r="D20" i="54" s="1"/>
  <c r="C10" i="54"/>
  <c r="L15" i="54"/>
  <c r="M14" i="54"/>
  <c r="M15" i="54" s="1"/>
  <c r="F18" i="51"/>
  <c r="F12" i="52" s="1"/>
  <c r="F10" i="53"/>
  <c r="F11" i="53" s="1"/>
  <c r="E18" i="51"/>
  <c r="E12" i="52" s="1"/>
  <c r="E10" i="53"/>
  <c r="E11" i="53" s="1"/>
  <c r="B18" i="51"/>
  <c r="B12" i="52" s="1"/>
  <c r="E15" i="45"/>
  <c r="E8" i="52" s="1"/>
  <c r="B8" i="46"/>
  <c r="B10" i="46" s="1"/>
  <c r="B20" i="54" s="1"/>
  <c r="F8" i="46"/>
  <c r="F10" i="46" s="1"/>
  <c r="F20" i="54" s="1"/>
  <c r="C10" i="46"/>
  <c r="C20" i="54" s="1"/>
  <c r="N15" i="45" l="1"/>
  <c r="N8" i="52"/>
  <c r="N9" i="52" s="1"/>
  <c r="N9" i="53"/>
  <c r="D16" i="46"/>
  <c r="N12" i="52"/>
  <c r="N10" i="53"/>
  <c r="E10" i="46"/>
  <c r="E15" i="46"/>
  <c r="C15" i="46"/>
  <c r="B16" i="46"/>
  <c r="C16" i="46"/>
  <c r="D15" i="46"/>
  <c r="D17" i="46" s="1"/>
  <c r="D11" i="52" s="1"/>
  <c r="G15" i="46"/>
  <c r="G17" i="46" s="1"/>
  <c r="G11" i="52" s="1"/>
  <c r="G13" i="52" s="1"/>
  <c r="G6" i="79" s="1"/>
  <c r="F16" i="46"/>
  <c r="B9" i="52"/>
  <c r="C17" i="46" l="1"/>
  <c r="C11" i="52" s="1"/>
  <c r="N11" i="53"/>
  <c r="E20" i="54"/>
  <c r="E16" i="46"/>
  <c r="E17" i="46" s="1"/>
  <c r="E11" i="52" s="1"/>
  <c r="F15" i="46"/>
  <c r="F17" i="46" s="1"/>
  <c r="F11" i="52" s="1"/>
  <c r="B17" i="46"/>
  <c r="B11" i="52" s="1"/>
  <c r="N16" i="46" l="1"/>
  <c r="N15" i="46"/>
  <c r="N11" i="52"/>
  <c r="N13" i="52" s="1"/>
  <c r="N14" i="52" s="1"/>
  <c r="E13" i="52"/>
  <c r="E6" i="79" s="1"/>
  <c r="N17" i="46" l="1"/>
  <c r="B13" i="52"/>
  <c r="D13" i="52"/>
  <c r="D6" i="79" s="1"/>
  <c r="C13" i="52"/>
  <c r="C6" i="79" s="1"/>
  <c r="B14" i="52" l="1"/>
  <c r="B16" i="52" s="1"/>
  <c r="B12" i="53" s="1"/>
  <c r="B6" i="79"/>
  <c r="F13" i="52"/>
  <c r="F6" i="79" s="1"/>
  <c r="B21" i="54" l="1"/>
  <c r="B22" i="54"/>
  <c r="B23" i="54" s="1"/>
  <c r="B9" i="53"/>
  <c r="B11" i="53" s="1"/>
  <c r="B19" i="52"/>
  <c r="B20" i="52" l="1"/>
  <c r="C6" i="52" l="1"/>
  <c r="C9" i="52" s="1"/>
  <c r="C14" i="52" s="1"/>
  <c r="C16" i="52" s="1"/>
  <c r="C21" i="54" s="1"/>
  <c r="B8" i="54"/>
  <c r="B11" i="54" s="1"/>
  <c r="B16" i="54" s="1"/>
  <c r="C12" i="53" l="1"/>
  <c r="C19" i="52"/>
  <c r="C20" i="52" s="1"/>
  <c r="C13" i="53" l="1"/>
  <c r="C7" i="79" s="1"/>
  <c r="C22" i="54"/>
  <c r="C23" i="54" s="1"/>
  <c r="D6" i="52"/>
  <c r="D9" i="52" s="1"/>
  <c r="D14" i="52" s="1"/>
  <c r="D16" i="52" s="1"/>
  <c r="C8" i="54"/>
  <c r="C11" i="54" s="1"/>
  <c r="C16" i="54" s="1"/>
  <c r="D21" i="54" l="1"/>
  <c r="D12" i="53"/>
  <c r="D19" i="52"/>
  <c r="D20" i="52" s="1"/>
  <c r="D13" i="53" l="1"/>
  <c r="D7" i="79" s="1"/>
  <c r="D22" i="54"/>
  <c r="D23" i="54" s="1"/>
  <c r="E6" i="52"/>
  <c r="E9" i="52" s="1"/>
  <c r="E14" i="52" s="1"/>
  <c r="E16" i="52" s="1"/>
  <c r="E19" i="52" s="1"/>
  <c r="D8" i="54"/>
  <c r="D11" i="54" s="1"/>
  <c r="D16" i="54" s="1"/>
  <c r="E12" i="53" l="1"/>
  <c r="E21" i="54"/>
  <c r="E20" i="52"/>
  <c r="B13" i="53"/>
  <c r="B26" i="54" l="1"/>
  <c r="B7" i="79"/>
  <c r="E13" i="53"/>
  <c r="E7" i="79" s="1"/>
  <c r="E22" i="54"/>
  <c r="E23" i="54" s="1"/>
  <c r="F6" i="52"/>
  <c r="F9" i="52" s="1"/>
  <c r="F14" i="52" s="1"/>
  <c r="F16" i="52" s="1"/>
  <c r="E8" i="54"/>
  <c r="E11" i="54" s="1"/>
  <c r="E16" i="54" s="1"/>
  <c r="B27" i="54"/>
  <c r="B28" i="54" s="1"/>
  <c r="C26" i="54"/>
  <c r="F21" i="54" l="1"/>
  <c r="D26" i="54"/>
  <c r="C27" i="54"/>
  <c r="C28" i="54" s="1"/>
  <c r="F12" i="53"/>
  <c r="F19" i="52"/>
  <c r="F20" i="52" s="1"/>
  <c r="F8" i="54" s="1"/>
  <c r="F11" i="54" s="1"/>
  <c r="F16" i="54" s="1"/>
  <c r="F13" i="53" l="1"/>
  <c r="F7" i="79" s="1"/>
  <c r="F22" i="54"/>
  <c r="F23" i="54" s="1"/>
  <c r="E26" i="54"/>
  <c r="D27" i="54"/>
  <c r="D28" i="54" s="1"/>
  <c r="G6" i="52"/>
  <c r="F26" i="54" l="1"/>
  <c r="E27" i="54"/>
  <c r="E28" i="54" s="1"/>
  <c r="G9" i="52"/>
  <c r="G14" i="52" s="1"/>
  <c r="F27" i="54" l="1"/>
  <c r="F28" i="54" s="1"/>
  <c r="G16" i="52"/>
  <c r="G21" i="54" l="1"/>
  <c r="G12" i="53"/>
  <c r="G19" i="52"/>
  <c r="G20" i="52" s="1"/>
  <c r="G13" i="53" l="1"/>
  <c r="G22" i="54"/>
  <c r="G23" i="54" s="1"/>
  <c r="H6" i="52"/>
  <c r="H9" i="52" s="1"/>
  <c r="H14" i="52" s="1"/>
  <c r="H16" i="52" s="1"/>
  <c r="G8" i="54"/>
  <c r="G11" i="54" s="1"/>
  <c r="G16" i="54" s="1"/>
  <c r="G26" i="54" l="1"/>
  <c r="G7" i="79"/>
  <c r="H21" i="54"/>
  <c r="G27" i="54"/>
  <c r="G28" i="54" s="1"/>
  <c r="H12" i="53"/>
  <c r="H19" i="52"/>
  <c r="H20" i="52" s="1"/>
  <c r="H13" i="53" l="1"/>
  <c r="H22" i="54"/>
  <c r="H23" i="54" s="1"/>
  <c r="I6" i="52"/>
  <c r="I9" i="52" s="1"/>
  <c r="I14" i="52" s="1"/>
  <c r="I16" i="52" s="1"/>
  <c r="H8" i="54"/>
  <c r="H11" i="54" s="1"/>
  <c r="H16" i="54" s="1"/>
  <c r="H26" i="54" l="1"/>
  <c r="H27" i="54" s="1"/>
  <c r="H28" i="54" s="1"/>
  <c r="H7" i="79"/>
  <c r="I19" i="52"/>
  <c r="I20" i="52" s="1"/>
  <c r="I21" i="54"/>
  <c r="I12" i="53"/>
  <c r="I13" i="53" l="1"/>
  <c r="I22" i="54"/>
  <c r="I23" i="54" s="1"/>
  <c r="J6" i="52"/>
  <c r="J9" i="52" s="1"/>
  <c r="J14" i="52" s="1"/>
  <c r="J16" i="52" s="1"/>
  <c r="I8" i="54"/>
  <c r="I11" i="54" s="1"/>
  <c r="I16" i="54" s="1"/>
  <c r="I26" i="54" l="1"/>
  <c r="I7" i="79"/>
  <c r="I27" i="54"/>
  <c r="I28" i="54" s="1"/>
  <c r="J19" i="52"/>
  <c r="J20" i="52" s="1"/>
  <c r="J21" i="54"/>
  <c r="J12" i="53"/>
  <c r="K6" i="52" l="1"/>
  <c r="K9" i="52" s="1"/>
  <c r="K14" i="52" s="1"/>
  <c r="K16" i="52" s="1"/>
  <c r="J8" i="54"/>
  <c r="J11" i="54" s="1"/>
  <c r="J16" i="54" s="1"/>
  <c r="J13" i="53"/>
  <c r="J22" i="54"/>
  <c r="J23" i="54" s="1"/>
  <c r="J26" i="54" l="1"/>
  <c r="J7" i="79"/>
  <c r="J27" i="54"/>
  <c r="J28" i="54" s="1"/>
  <c r="K19" i="52"/>
  <c r="K20" i="52" s="1"/>
  <c r="K12" i="53"/>
  <c r="K21" i="54"/>
  <c r="L6" i="52" l="1"/>
  <c r="L9" i="52" s="1"/>
  <c r="L14" i="52" s="1"/>
  <c r="L16" i="52" s="1"/>
  <c r="K8" i="54"/>
  <c r="K11" i="54" s="1"/>
  <c r="K16" i="54" s="1"/>
  <c r="K13" i="53"/>
  <c r="K22" i="54"/>
  <c r="K23" i="54" s="1"/>
  <c r="K26" i="54" l="1"/>
  <c r="K7" i="79"/>
  <c r="L19" i="52"/>
  <c r="L20" i="52" s="1"/>
  <c r="L12" i="53"/>
  <c r="L21" i="54"/>
  <c r="K27" i="54"/>
  <c r="K28" i="54" s="1"/>
  <c r="L13" i="53" l="1"/>
  <c r="L22" i="54"/>
  <c r="L23" i="54" s="1"/>
  <c r="M6" i="52"/>
  <c r="M9" i="52" s="1"/>
  <c r="M14" i="52" s="1"/>
  <c r="M16" i="52" s="1"/>
  <c r="L8" i="54"/>
  <c r="L11" i="54" s="1"/>
  <c r="L16" i="54" s="1"/>
  <c r="L26" i="54" l="1"/>
  <c r="L7" i="79"/>
  <c r="L27" i="54"/>
  <c r="L28" i="54" s="1"/>
  <c r="M12" i="53"/>
  <c r="N16" i="52"/>
  <c r="M18" i="52"/>
  <c r="M17" i="52"/>
  <c r="N18" i="52" l="1"/>
  <c r="M6" i="79"/>
  <c r="N6" i="79" s="1"/>
  <c r="M13" i="53"/>
  <c r="N12" i="53"/>
  <c r="N13" i="53" s="1"/>
  <c r="M22" i="54"/>
  <c r="M19" i="52"/>
  <c r="M20" i="52" s="1"/>
  <c r="M8" i="54" s="1"/>
  <c r="M11" i="54" s="1"/>
  <c r="M16" i="54" s="1"/>
  <c r="N17" i="52"/>
  <c r="N19" i="52" s="1"/>
  <c r="N20" i="52" s="1"/>
  <c r="M21" i="54"/>
  <c r="M26" i="54" l="1"/>
  <c r="M27" i="54" s="1"/>
  <c r="M7" i="79"/>
  <c r="N7" i="79" s="1"/>
  <c r="M23" i="54"/>
  <c r="M28" i="54" l="1"/>
</calcChain>
</file>

<file path=xl/sharedStrings.xml><?xml version="1.0" encoding="utf-8"?>
<sst xmlns="http://schemas.openxmlformats.org/spreadsheetml/2006/main" count="291" uniqueCount="138">
  <si>
    <t>Sales</t>
  </si>
  <si>
    <t>Gross margin</t>
  </si>
  <si>
    <t>Less depreciation</t>
  </si>
  <si>
    <t>Cash disbursements for selling and administrative expenses</t>
  </si>
  <si>
    <t>Excess (deficiency) of cash available over disbursements</t>
  </si>
  <si>
    <t>Financing:</t>
  </si>
  <si>
    <t>Assets</t>
  </si>
  <si>
    <t>Current assets:</t>
  </si>
  <si>
    <t>Plant and equipment:</t>
  </si>
  <si>
    <t xml:space="preserve">Total assets </t>
  </si>
  <si>
    <t>Liabilities and Stockholders’ Equity</t>
  </si>
  <si>
    <t>Current liabilities:</t>
  </si>
  <si>
    <t>Stockholders’ equity:</t>
  </si>
  <si>
    <t xml:space="preserve">Total liabilities and stockholders’ equity </t>
  </si>
  <si>
    <t>Property taxes</t>
  </si>
  <si>
    <t>Sales Budget</t>
  </si>
  <si>
    <t>Schedule of Expected Cash Collections</t>
  </si>
  <si>
    <t>Collections from customers</t>
  </si>
  <si>
    <t>Selling and administrative</t>
  </si>
  <si>
    <t>Total financing</t>
  </si>
  <si>
    <t>Insurance</t>
  </si>
  <si>
    <t xml:space="preserve">Cash </t>
  </si>
  <si>
    <t xml:space="preserve">Accounts receivable </t>
  </si>
  <si>
    <t xml:space="preserve">Total current assets </t>
  </si>
  <si>
    <t xml:space="preserve">Buildings and equipment </t>
  </si>
  <si>
    <t xml:space="preserve">Accumulated depreciation </t>
  </si>
  <si>
    <t xml:space="preserve">Plant and equipment, net </t>
  </si>
  <si>
    <t xml:space="preserve">Retained earnings </t>
  </si>
  <si>
    <t xml:space="preserve">Total stockholders’ equity </t>
  </si>
  <si>
    <t>Total needs</t>
  </si>
  <si>
    <t>Selling and Administrative Expense Budget</t>
  </si>
  <si>
    <t>Advertising</t>
  </si>
  <si>
    <t>Executive salaries</t>
  </si>
  <si>
    <t>Depreciation</t>
  </si>
  <si>
    <t>Cash Budget</t>
  </si>
  <si>
    <t>Total cash available</t>
  </si>
  <si>
    <t>Selling and administrative expenses</t>
  </si>
  <si>
    <t>Interest expense</t>
  </si>
  <si>
    <t>Net operating Income</t>
  </si>
  <si>
    <t>Net Income</t>
  </si>
  <si>
    <t>Repayments (at end of the year)</t>
  </si>
  <si>
    <t>Variable selling and administrative expense</t>
  </si>
  <si>
    <t>Fixed selling and administrative expenses:</t>
  </si>
  <si>
    <t>Total fixed selling and administrative expenses</t>
  </si>
  <si>
    <t>Total selling and administrative expenses</t>
  </si>
  <si>
    <t xml:space="preserve"> </t>
  </si>
  <si>
    <t>Property tax</t>
  </si>
  <si>
    <t>Balance Sheet</t>
  </si>
  <si>
    <t>Total current assets</t>
  </si>
  <si>
    <t>Plant and equipment, net</t>
  </si>
  <si>
    <t>Total assets</t>
  </si>
  <si>
    <t>Stockholders' equity:</t>
  </si>
  <si>
    <t>Total stockholders' equity</t>
  </si>
  <si>
    <t>Total liabilities and stockholders' equity</t>
  </si>
  <si>
    <t>Total</t>
  </si>
  <si>
    <t>Minimum cash balance</t>
  </si>
  <si>
    <t>Liabilities and Stockholders' Equity</t>
  </si>
  <si>
    <t xml:space="preserve">  Cash</t>
  </si>
  <si>
    <t xml:space="preserve">  Buildings and equipment</t>
  </si>
  <si>
    <t xml:space="preserve">  Accumulated depreciation</t>
  </si>
  <si>
    <t xml:space="preserve">  Accounts payable</t>
  </si>
  <si>
    <t xml:space="preserve">  Common stock</t>
  </si>
  <si>
    <t xml:space="preserve">  Retained earnings</t>
  </si>
  <si>
    <t>Budgeting Assumptions</t>
  </si>
  <si>
    <t>Cost of goods sold</t>
  </si>
  <si>
    <t>Beginning cash balance</t>
  </si>
  <si>
    <t>Add cash receipts:</t>
  </si>
  <si>
    <t>Less cash disbursements:</t>
  </si>
  <si>
    <t>Total cash disbursements</t>
  </si>
  <si>
    <t>Ending cash balance</t>
  </si>
  <si>
    <t>Selling price per unit</t>
  </si>
  <si>
    <t>Total cash collections</t>
  </si>
  <si>
    <t>Budgeted unit sales</t>
  </si>
  <si>
    <t>Variable selling and administrative expense per unit</t>
  </si>
  <si>
    <t>(Absorption costing basis)</t>
  </si>
  <si>
    <t xml:space="preserve">  Accounts receivable</t>
  </si>
  <si>
    <t>Merchandise Purchases Budget</t>
  </si>
  <si>
    <t xml:space="preserve">  Merchandise inventory</t>
  </si>
  <si>
    <t>Williams Company</t>
  </si>
  <si>
    <t>Beginning of the Year</t>
  </si>
  <si>
    <t>All 12 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</si>
  <si>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</si>
  <si>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</si>
  <si>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</si>
  <si>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</si>
  <si>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</si>
  <si>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</si>
  <si>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</si>
  <si>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</si>
  <si>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</si>
  <si>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</si>
  <si>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</si>
  <si>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</si>
  <si>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Fixed selling and administrative expense per month:</t>
  </si>
  <si>
    <t>Percentage of sales that are collected in the month of sale</t>
  </si>
  <si>
    <t>Percentage of sales that are collected in the month after sale</t>
  </si>
  <si>
    <t>For This Year</t>
  </si>
  <si>
    <t>Sales Budget:</t>
  </si>
  <si>
    <t>Merchandise Purchases Budget:</t>
  </si>
  <si>
    <t>Selling and Administrative Expense Budget:</t>
  </si>
  <si>
    <t xml:space="preserve">May </t>
  </si>
  <si>
    <t>Cash collections from prior month's sales</t>
  </si>
  <si>
    <t>Cash collections from current month's sales</t>
  </si>
  <si>
    <t>Percentage of next month's cost of goods sold in ending merchandise inventory</t>
  </si>
  <si>
    <t>Cost of goods sold as a percent of sales</t>
  </si>
  <si>
    <t>Percentage of merchandise purchases that are paid for in the month of purchase</t>
  </si>
  <si>
    <t>Percentage of merchandise purchases that are paid for in the month after purchase</t>
  </si>
  <si>
    <t>Budgeted cost of goods sold</t>
  </si>
  <si>
    <t>Add desired ending merchandise inventory</t>
  </si>
  <si>
    <t>Less beginning merchandise inventory</t>
  </si>
  <si>
    <t>Required merchandise purchases</t>
  </si>
  <si>
    <t>Cash disbursements related to prior month's purchases</t>
  </si>
  <si>
    <t>Cash disbursements related to current month's purchases</t>
  </si>
  <si>
    <t>Total cash disbursements for merchandise purchases</t>
  </si>
  <si>
    <t>Schedule of Expected Cash Disbursements for Merchandise Purchases</t>
  </si>
  <si>
    <t>Budgeted units sales</t>
  </si>
  <si>
    <t>Merchandise purchases</t>
  </si>
  <si>
    <t>Simple interest rate per month</t>
  </si>
  <si>
    <t>Borrowings (at the beginnings of months)</t>
  </si>
  <si>
    <t>Interest (at 1% per month)</t>
  </si>
  <si>
    <t>Budgeted Income Statements</t>
  </si>
  <si>
    <t>Budgeted Balance Sheets</t>
  </si>
  <si>
    <t>For Each Month This Year</t>
  </si>
  <si>
    <t xml:space="preserve">Merchandise inventory </t>
  </si>
  <si>
    <t xml:space="preserve">Accounts payable </t>
  </si>
  <si>
    <t xml:space="preserve">Common stock </t>
  </si>
  <si>
    <t>Total liabilities</t>
  </si>
  <si>
    <t>Short-term note payable</t>
  </si>
  <si>
    <t>Interest payable</t>
  </si>
  <si>
    <t>December ending inventory based on assumption of January sales = $88,000</t>
  </si>
  <si>
    <t>Data Analytics Budgeting</t>
  </si>
  <si>
    <t>Master Budget</t>
  </si>
  <si>
    <t>Selling &amp; Admin Budget</t>
  </si>
  <si>
    <t>Beginning Balance Sheet</t>
  </si>
  <si>
    <t>Mininmum Cash Requirement</t>
  </si>
  <si>
    <t>Operating cash flows</t>
  </si>
  <si>
    <t>Net income</t>
  </si>
  <si>
    <t>Cash Flow vs.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</si>
</sst>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mmmm\ d\,\ yyyy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4"/>
      <color theme="1"/>
      <name val="Symbol"/>
      <family val="1"/>
      <charset val="2"/>
    </font>
    <font>
      <sz val="14"/>
      <color theme="1"/>
      <name val="Courier New"/>
      <family val="3"/>
    </font>
    <font>
      <sz val="14"/>
      <color theme="1"/>
      <name val="Wingdings"/>
      <charset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66" fontId="3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64" fontId="7" fillId="0" borderId="0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6" fillId="0" borderId="0" xfId="1" applyNumberFormat="1" applyFont="1" applyBorder="1" applyAlignment="1">
      <alignment horizontal="right"/>
    </xf>
    <xf numFmtId="166" fontId="6" fillId="0" borderId="0" xfId="1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164" fontId="6" fillId="0" borderId="0" xfId="2" applyNumberFormat="1" applyFont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4" fontId="7" fillId="0" borderId="0" xfId="2" applyNumberFormat="1" applyFont="1" applyBorder="1"/>
    <xf numFmtId="0" fontId="4" fillId="0" borderId="0" xfId="0" applyFont="1" applyAlignment="1">
      <alignment horizontal="center"/>
    </xf>
    <xf numFmtId="164" fontId="3" fillId="0" borderId="0" xfId="2" applyNumberFormat="1" applyFont="1"/>
    <xf numFmtId="166" fontId="6" fillId="0" borderId="0" xfId="0" applyNumberFormat="1" applyFont="1"/>
    <xf numFmtId="164" fontId="3" fillId="0" borderId="0" xfId="2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5" fontId="3" fillId="0" borderId="0" xfId="0" applyNumberFormat="1" applyFont="1"/>
    <xf numFmtId="0" fontId="5" fillId="0" borderId="0" xfId="0" applyFont="1"/>
    <xf numFmtId="14" fontId="5" fillId="0" borderId="0" xfId="0" applyNumberFormat="1" applyFont="1"/>
    <xf numFmtId="166" fontId="3" fillId="0" borderId="0" xfId="1" applyNumberFormat="1" applyFont="1"/>
    <xf numFmtId="164" fontId="7" fillId="0" borderId="0" xfId="2" applyNumberFormat="1" applyFont="1"/>
    <xf numFmtId="0" fontId="5" fillId="0" borderId="0" xfId="0" applyFont="1" applyAlignment="1">
      <alignment horizontal="center" wrapText="1"/>
    </xf>
    <xf numFmtId="44" fontId="3" fillId="0" borderId="0" xfId="2" applyFont="1"/>
    <xf numFmtId="9" fontId="3" fillId="0" borderId="0" xfId="3" applyFont="1"/>
    <xf numFmtId="166" fontId="0" fillId="0" borderId="0" xfId="1" applyNumberFormat="1" applyFont="1"/>
    <xf numFmtId="166" fontId="6" fillId="0" borderId="0" xfId="1" applyNumberFormat="1" applyFont="1"/>
    <xf numFmtId="0" fontId="8" fillId="0" borderId="0" xfId="0" applyFont="1" applyAlignment="1">
      <alignment horizontal="center"/>
    </xf>
    <xf numFmtId="166" fontId="3" fillId="0" borderId="0" xfId="0" applyNumberFormat="1" applyFont="1"/>
    <xf numFmtId="44" fontId="6" fillId="0" borderId="0" xfId="0" applyNumberFormat="1" applyFont="1"/>
    <xf numFmtId="164" fontId="0" fillId="0" borderId="0" xfId="2" applyNumberFormat="1" applyFont="1"/>
    <xf numFmtId="0" fontId="5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166" fontId="7" fillId="0" borderId="0" xfId="2" applyNumberFormat="1" applyFont="1" applyBorder="1" applyAlignment="1">
      <alignment horizontal="right"/>
    </xf>
    <xf numFmtId="167" fontId="4" fillId="0" borderId="0" xfId="0" applyNumberFormat="1" applyFont="1" applyAlignment="1">
      <alignment horizontal="center"/>
    </xf>
    <xf numFmtId="9" fontId="3" fillId="0" borderId="0" xfId="0" applyNumberFormat="1" applyFont="1"/>
    <xf numFmtId="164" fontId="7" fillId="0" borderId="0" xfId="2" applyNumberFormat="1" applyFont="1" applyBorder="1" applyAlignment="1">
      <alignment horizontal="right" vertical="top"/>
    </xf>
    <xf numFmtId="9" fontId="0" fillId="0" borderId="0" xfId="3" applyFont="1"/>
    <xf numFmtId="2" fontId="3" fillId="0" borderId="0" xfId="0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1" fillId="2" borderId="0" xfId="0" applyFont="1" applyFill="1"/>
    <xf numFmtId="0" fontId="0" fillId="2" borderId="5" xfId="0" applyFill="1" applyBorder="1"/>
    <xf numFmtId="0" fontId="0" fillId="2" borderId="0" xfId="0" applyFill="1"/>
    <xf numFmtId="0" fontId="10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2" fillId="2" borderId="0" xfId="4" applyFill="1" applyBorder="1"/>
    <xf numFmtId="0" fontId="12" fillId="2" borderId="0" xfId="4" applyFill="1" applyBorder="1" applyAlignment="1">
      <alignment horizontal="left" indent="3"/>
    </xf>
    <xf numFmtId="0" fontId="13" fillId="0" borderId="0" xfId="5" applyFont="1" applyAlignment="1">
      <alignment horizontal="left" vertical="center" indent="5"/>
    </xf>
    <xf numFmtId="0" fontId="1" fillId="0" borderId="0" xfId="5"/>
    <xf numFmtId="0" fontId="14" fillId="0" borderId="0" xfId="5" applyFont="1" applyAlignment="1">
      <alignment horizontal="left" vertical="center" indent="10"/>
    </xf>
    <xf numFmtId="0" fontId="15" fillId="0" borderId="0" xfId="5" applyFont="1" applyAlignment="1">
      <alignment horizontal="left" vertical="center" indent="15"/>
    </xf>
    <xf numFmtId="0" fontId="13" fillId="0" borderId="0" xfId="5" applyFont="1" applyAlignment="1">
      <alignment horizontal="left" vertical="center" indent="15"/>
    </xf>
    <xf numFmtId="0" fontId="16" fillId="0" borderId="0" xfId="5" applyFont="1"/>
    <xf numFmtId="164" fontId="4" fillId="0" borderId="0" xfId="0" applyNumberFormat="1" applyFont="1"/>
    <xf numFmtId="0" fontId="2" fillId="0" borderId="0" xfId="6"/>
    <xf numFmtId="167" fontId="4" fillId="0" borderId="0" xfId="6" applyNumberFormat="1" applyFont="1" applyAlignment="1">
      <alignment horizontal="center"/>
    </xf>
    <xf numFmtId="15" fontId="3" fillId="0" borderId="0" xfId="6" applyNumberFormat="1" applyFont="1"/>
    <xf numFmtId="0" fontId="5" fillId="0" borderId="0" xfId="6" applyFont="1" applyAlignment="1">
      <alignment horizontal="center"/>
    </xf>
    <xf numFmtId="0" fontId="3" fillId="0" borderId="0" xfId="6" applyFont="1"/>
    <xf numFmtId="164" fontId="3" fillId="0" borderId="0" xfId="6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6" applyFont="1" applyAlignment="1">
      <alignment horizontal="center"/>
    </xf>
    <xf numFmtId="167" fontId="4" fillId="0" borderId="0" xfId="6" applyNumberFormat="1" applyFont="1" applyAlignment="1">
      <alignment horizontal="center"/>
    </xf>
  </cellXfs>
  <cellStyles count="7">
    <cellStyle name="Comma" xfId="1" builtinId="3"/>
    <cellStyle name="Currency" xfId="2" builtinId="4"/>
    <cellStyle name="Hyperlink" xfId="4" builtinId="8"/>
    <cellStyle name="Normal" xfId="0" builtinId="0"/>
    <cellStyle name="Normal 2" xfId="5" xr:uid="{C3153444-E9ED-4919-960B-35324CC5DB3A}"/>
    <cellStyle name="Normal 3" xfId="6" xr:uid="{C381DBE3-E44A-4715-B1C7-E0195CD4F80C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428624</xdr:colOff>
      <xdr:row>59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BF330A-E716-49D5-B1D7-CED87062723F}"/>
            </a:ext>
          </a:extLst>
        </xdr:cNvPr>
        <xdr:cNvSpPr txBox="1"/>
      </xdr:nvSpPr>
      <xdr:spPr>
        <a:xfrm>
          <a:off x="0" y="0"/>
          <a:ext cx="7134224" cy="1175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Charts: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 are a way to easily visualize your data sets in order to present findings or to gain further insights.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There are a wide variety of chart types that you can utilize in Microsoft Excel.  The most common types used are bar/column charts to show comparisons of values and line charts to show trends.  Below is an example of how to set up a chart: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first step is to select the data you would like to chart out.  In general, you want to format your data in a way that you have column headers like days and then row headers such as your cost or company.  See the below as an example: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Highlight the data you what to create a chart of: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 to the “Insert” tab and you will see a section titled “Charts”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on “Recommended Charts”, which will generate an “Insert Chart” window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window you have two tabs: “Recommended Charts” and “All Charts”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“Recommended Charts” tab will give you several charts that are recommended for the specific data set you have chosen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“All Charts” tab will let you dictate the type of chart you want.  You will see that on this tab, the left-hand side shows all the different chart types and as you click on them you will see the right-hand pane generate the different subtypes of charts available for that group.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“All Charts” tab, choose the “Line” option from the left-hand pane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right-hand side look through the various options.  If we want to show a trend line with the data points marked, we would choose the option titled “Line with Markers”.  Chose this option and click “OK”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below chart will generate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5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will see here that this is a default chart.  You can make many changes such as the following: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Double click in the “Chart Title” and add your own chart name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can right click on either the X (here Day 1, Day 2,….) or Y (here 0-100) axes and click “Format Axis” pane will generate giving you a plethora of options to modify the axes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Another set of easy tools is to click on the chart and within the “Chart Design” ribbon click on “Add Chart Element” within the “Chart Layouts” section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section you can add titles to the axes, add other labels, create legends, etc.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552450</xdr:colOff>
      <xdr:row>14</xdr:row>
      <xdr:rowOff>19050</xdr:rowOff>
    </xdr:from>
    <xdr:to>
      <xdr:col>6</xdr:col>
      <xdr:colOff>171450</xdr:colOff>
      <xdr:row>19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EBA02-856B-4438-A482-EE0F8BF74B7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114675"/>
          <a:ext cx="2667000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76200</xdr:rowOff>
    </xdr:from>
    <xdr:to>
      <xdr:col>11</xdr:col>
      <xdr:colOff>66674</xdr:colOff>
      <xdr:row>12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4648DB-B196-4265-B4AB-D5C9123085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724025"/>
          <a:ext cx="545782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462803</xdr:colOff>
      <xdr:row>36</xdr:row>
      <xdr:rowOff>79562</xdr:rowOff>
    </xdr:from>
    <xdr:to>
      <xdr:col>7</xdr:col>
      <xdr:colOff>57710</xdr:colOff>
      <xdr:row>48</xdr:row>
      <xdr:rowOff>127187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1F047A-08BF-447E-AD19-A01D11BC4A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" y="7366187"/>
          <a:ext cx="3252507" cy="2333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7322-1478-4F79-AF43-AF29185DC771}">
  <sheetPr>
    <tabColor theme="6" tint="0.39997558519241921"/>
  </sheetPr>
  <dimension ref="B1:D16"/>
  <sheetViews>
    <sheetView showGridLines="0" tabSelected="1" zoomScaleNormal="100" workbookViewId="0">
      <selection activeCell="C5" sqref="C5"/>
    </sheetView>
  </sheetViews>
  <sheetFormatPr defaultRowHeight="13.2" x14ac:dyDescent="0.25"/>
  <cols>
    <col min="1" max="1" width="1.5546875" customWidth="1"/>
    <col min="2" max="2" width="2.44140625" customWidth="1"/>
    <col min="3" max="3" width="42.5546875" customWidth="1"/>
    <col min="4" max="4" width="2.44140625" customWidth="1"/>
    <col min="5" max="5" width="6" customWidth="1"/>
  </cols>
  <sheetData>
    <row r="1" spans="2:4" ht="6.75" customHeight="1" thickBot="1" x14ac:dyDescent="0.3"/>
    <row r="2" spans="2:4" ht="9" customHeight="1" x14ac:dyDescent="0.25">
      <c r="B2" s="45"/>
      <c r="C2" s="46"/>
      <c r="D2" s="47"/>
    </row>
    <row r="3" spans="2:4" x14ac:dyDescent="0.25">
      <c r="B3" s="48"/>
      <c r="C3" s="49" t="s">
        <v>130</v>
      </c>
      <c r="D3" s="50"/>
    </row>
    <row r="4" spans="2:4" x14ac:dyDescent="0.25">
      <c r="B4" s="48"/>
      <c r="C4" s="49"/>
      <c r="D4" s="50"/>
    </row>
    <row r="5" spans="2:4" x14ac:dyDescent="0.25">
      <c r="B5" s="48"/>
      <c r="C5" s="56" t="s">
        <v>133</v>
      </c>
      <c r="D5" s="50"/>
    </row>
    <row r="6" spans="2:4" x14ac:dyDescent="0.25">
      <c r="B6" s="48"/>
      <c r="C6" s="51"/>
      <c r="D6" s="50"/>
    </row>
    <row r="7" spans="2:4" x14ac:dyDescent="0.25">
      <c r="B7" s="48"/>
      <c r="C7" s="52" t="s">
        <v>131</v>
      </c>
      <c r="D7" s="50"/>
    </row>
    <row r="8" spans="2:4" x14ac:dyDescent="0.25">
      <c r="B8" s="48"/>
      <c r="C8" s="57" t="s">
        <v>63</v>
      </c>
      <c r="D8" s="50"/>
    </row>
    <row r="9" spans="2:4" x14ac:dyDescent="0.25">
      <c r="B9" s="48"/>
      <c r="C9" s="57" t="s">
        <v>15</v>
      </c>
      <c r="D9" s="50"/>
    </row>
    <row r="10" spans="2:4" x14ac:dyDescent="0.25">
      <c r="B10" s="48"/>
      <c r="C10" s="57" t="s">
        <v>76</v>
      </c>
      <c r="D10" s="50"/>
    </row>
    <row r="11" spans="2:4" x14ac:dyDescent="0.25">
      <c r="B11" s="48"/>
      <c r="C11" s="57" t="s">
        <v>132</v>
      </c>
      <c r="D11" s="50"/>
    </row>
    <row r="12" spans="2:4" x14ac:dyDescent="0.25">
      <c r="B12" s="48"/>
      <c r="C12" s="57" t="s">
        <v>34</v>
      </c>
      <c r="D12" s="50"/>
    </row>
    <row r="13" spans="2:4" x14ac:dyDescent="0.25">
      <c r="B13" s="48"/>
      <c r="C13" s="57" t="s">
        <v>120</v>
      </c>
      <c r="D13" s="50"/>
    </row>
    <row r="14" spans="2:4" x14ac:dyDescent="0.25">
      <c r="B14" s="48"/>
      <c r="C14" s="57" t="s">
        <v>121</v>
      </c>
      <c r="D14" s="50"/>
    </row>
    <row r="15" spans="2:4" x14ac:dyDescent="0.25">
      <c r="B15" s="48"/>
      <c r="C15" s="57" t="s">
        <v>137</v>
      </c>
      <c r="D15" s="50"/>
    </row>
    <row r="16" spans="2:4" ht="9" customHeight="1" thickBot="1" x14ac:dyDescent="0.3">
      <c r="B16" s="53"/>
      <c r="C16" s="54"/>
      <c r="D16" s="55"/>
    </row>
  </sheetData>
  <hyperlinks>
    <hyperlink ref="C5" location="'Beginning Balance Sheet'!A1" display="Beginning Balance Sheet" xr:uid="{310C2FB7-64D5-4BE1-BF4D-A6D67A3112AB}"/>
    <hyperlink ref="C8" location="'M-Budgeting Assumptions'!A1" display="Budgeting Assumptions" xr:uid="{FCF8A7AB-E651-4B39-8309-39627D959689}"/>
    <hyperlink ref="C9" location="'M-Sales Budget'!A1" display="Sales Budget" xr:uid="{CCB1199A-9B97-43F2-8B08-DAB93D123DEE}"/>
    <hyperlink ref="C10" location="'M-Merchandise Purchases Budget'!A1" display="Merchandise Purchases Budget" xr:uid="{1259A840-77F3-4F72-BE51-CF3B5652221A}"/>
    <hyperlink ref="C11" location="'M-Selling &amp; Admin Budget'!A1" display="Selling &amp; Admin Budget" xr:uid="{DBDA43DC-CD64-47D1-AA46-76A51F694F39}"/>
    <hyperlink ref="C12" location="'M-Cash Budget'!A1" display="Cash Budget" xr:uid="{012BC20B-1D84-438B-8D6F-7DE01889E6BE}"/>
    <hyperlink ref="C13" location="'M-Budgeted Income Statements'!A1" display="Budgeted Income Statements" xr:uid="{6B7BA16E-F823-430E-B5FD-D8B9C8E96F0B}"/>
    <hyperlink ref="C14" location="'M-Budgeted Balance Sheets'!A1" display="Budgeted Balance Sheets" xr:uid="{544782AB-46BD-4E5C-809C-42C32778801C}"/>
    <hyperlink ref="C15" location="'M-Cash Flow vs. Net Income'!A1" display="Cash Flow vs. Net Income" xr:uid="{487B40E7-A9FB-43EB-B772-92C793C8D13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4045-9844-4190-88B7-E8678C65534A}">
  <sheetPr>
    <tabColor theme="8" tint="0.39997558519241921"/>
  </sheetPr>
  <dimension ref="A1:N36"/>
  <sheetViews>
    <sheetView workbookViewId="0">
      <selection activeCell="H26" sqref="H26"/>
    </sheetView>
  </sheetViews>
  <sheetFormatPr defaultColWidth="9.109375" defaultRowHeight="13.2" x14ac:dyDescent="0.25"/>
  <cols>
    <col min="1" max="1" width="41.44140625" style="65" bestFit="1" customWidth="1"/>
    <col min="2" max="13" width="15" style="65" customWidth="1"/>
    <col min="14" max="14" width="12.33203125" style="65" bestFit="1" customWidth="1"/>
    <col min="15" max="16384" width="9.109375" style="65"/>
  </cols>
  <sheetData>
    <row r="1" spans="1:14" ht="15.6" x14ac:dyDescent="0.3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4" ht="15.6" x14ac:dyDescent="0.3">
      <c r="A2" s="77" t="s">
        <v>137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5.6" x14ac:dyDescent="0.3">
      <c r="A3" s="78" t="s">
        <v>122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4" ht="15.6" x14ac:dyDescent="0.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4" ht="15.6" x14ac:dyDescent="0.3">
      <c r="A5" s="67"/>
      <c r="B5" s="68" t="s">
        <v>81</v>
      </c>
      <c r="C5" s="68" t="s">
        <v>82</v>
      </c>
      <c r="D5" s="68" t="s">
        <v>83</v>
      </c>
      <c r="E5" s="68" t="s">
        <v>84</v>
      </c>
      <c r="F5" s="68" t="s">
        <v>100</v>
      </c>
      <c r="G5" s="68" t="s">
        <v>86</v>
      </c>
      <c r="H5" s="68" t="s">
        <v>87</v>
      </c>
      <c r="I5" s="68" t="s">
        <v>88</v>
      </c>
      <c r="J5" s="68" t="s">
        <v>89</v>
      </c>
      <c r="K5" s="68" t="s">
        <v>90</v>
      </c>
      <c r="L5" s="68" t="s">
        <v>91</v>
      </c>
      <c r="M5" s="68" t="s">
        <v>92</v>
      </c>
      <c r="N5" s="68" t="s">
        <v>54</v>
      </c>
    </row>
    <row r="6" spans="1:14" ht="15" x14ac:dyDescent="0.25">
      <c r="A6" s="69" t="s">
        <v>135</v>
      </c>
      <c r="B6" s="6">
        <f>'Cash Budget'!B8-'Cash Budget'!B13+'Cash Budget'!B18</f>
        <v>-3001.875</v>
      </c>
      <c r="C6" s="6">
        <f>'Cash Budget'!C8-'Cash Budget'!C13+'Cash Budget'!C18</f>
        <v>-13965</v>
      </c>
      <c r="D6" s="6">
        <f>'Cash Budget'!D8-'Cash Budget'!D13+'Cash Budget'!D18</f>
        <v>-25818.75</v>
      </c>
      <c r="E6" s="6">
        <f>'Cash Budget'!E8-'Cash Budget'!E13+'Cash Budget'!E18</f>
        <v>-14851.25</v>
      </c>
      <c r="F6" s="6">
        <f>'Cash Budget'!F8-'Cash Budget'!F13+'Cash Budget'!F18</f>
        <v>-14675</v>
      </c>
      <c r="G6" s="6">
        <f>'Cash Budget'!G8-'Cash Budget'!G13+'Cash Budget'!G18</f>
        <v>-10166.25</v>
      </c>
      <c r="H6" s="6">
        <f>'Cash Budget'!H8-'Cash Budget'!H13+'Cash Budget'!H18</f>
        <v>30906.875</v>
      </c>
      <c r="I6" s="6">
        <f>'Cash Budget'!I8-'Cash Budget'!I13+'Cash Budget'!I18</f>
        <v>51953.125</v>
      </c>
      <c r="J6" s="6">
        <f>'Cash Budget'!J8-'Cash Budget'!J13+'Cash Budget'!J18</f>
        <v>67666.25</v>
      </c>
      <c r="K6" s="6">
        <f>'Cash Budget'!K8-'Cash Budget'!K13+'Cash Budget'!K18</f>
        <v>26407.5</v>
      </c>
      <c r="L6" s="6">
        <f>'Cash Budget'!L8-'Cash Budget'!L13+'Cash Budget'!L18</f>
        <v>7536.875</v>
      </c>
      <c r="M6" s="6">
        <f>'Cash Budget'!M8-'Cash Budget'!M13+'Cash Budget'!M18</f>
        <v>2453.5625</v>
      </c>
      <c r="N6" s="6">
        <f>SUM(B6:M6)</f>
        <v>104446.0625</v>
      </c>
    </row>
    <row r="7" spans="1:14" ht="15" x14ac:dyDescent="0.25">
      <c r="A7" s="69" t="s">
        <v>136</v>
      </c>
      <c r="B7" s="19">
        <f>'Budgeted Income Statements'!B13</f>
        <v>-24750</v>
      </c>
      <c r="C7" s="19">
        <f>'Budgeted Income Statements'!C13</f>
        <v>-31250</v>
      </c>
      <c r="D7" s="19">
        <f>'Budgeted Income Statements'!D13</f>
        <v>-21547.856250000008</v>
      </c>
      <c r="E7" s="19">
        <f>'Budgeted Income Statements'!E13</f>
        <v>-18446.368750000009</v>
      </c>
      <c r="F7" s="19">
        <f>'Budgeted Income Statements'!F13</f>
        <v>-8843.1187499999996</v>
      </c>
      <c r="G7" s="19">
        <f>'Budgeted Income Statements'!G13</f>
        <v>26805.218749999985</v>
      </c>
      <c r="H7" s="19">
        <f>'Budgeted Income Statements'!H13</f>
        <v>43055.21875</v>
      </c>
      <c r="I7" s="19">
        <f>'Budgeted Income Statements'!I13</f>
        <v>49555.21875</v>
      </c>
      <c r="J7" s="19">
        <f>'Budgeted Income Statements'!J13</f>
        <v>13805.218749999985</v>
      </c>
      <c r="K7" s="19">
        <f>'Budgeted Income Statements'!K13</f>
        <v>-2444.78125</v>
      </c>
      <c r="L7" s="19">
        <f>'Budgeted Income Statements'!L13</f>
        <v>-5694.78125</v>
      </c>
      <c r="M7" s="19">
        <f>'Budgeted Income Statements'!M13</f>
        <v>-18694.781250000007</v>
      </c>
      <c r="N7" s="6">
        <f>SUM(B7:M7)</f>
        <v>1549.1874999999491</v>
      </c>
    </row>
    <row r="14" spans="1:14" ht="15" x14ac:dyDescent="0.25">
      <c r="A14" s="69"/>
      <c r="B14" s="19"/>
      <c r="C14" s="19"/>
      <c r="D14" s="19"/>
      <c r="E14" s="19"/>
      <c r="F14" s="69"/>
      <c r="G14" s="69"/>
      <c r="H14" s="69"/>
      <c r="I14" s="69"/>
      <c r="J14" s="69"/>
      <c r="K14" s="69"/>
      <c r="L14" s="69"/>
      <c r="M14" s="69"/>
    </row>
    <row r="15" spans="1:14" ht="15" x14ac:dyDescent="0.25">
      <c r="A15" s="69"/>
      <c r="B15" s="19"/>
      <c r="C15" s="19"/>
      <c r="D15" s="19"/>
      <c r="E15" s="19"/>
      <c r="F15" s="69"/>
      <c r="G15" s="69"/>
      <c r="H15" s="69"/>
      <c r="I15" s="69"/>
      <c r="J15" s="69"/>
      <c r="K15" s="69"/>
      <c r="L15" s="69"/>
      <c r="M15" s="69"/>
    </row>
    <row r="16" spans="1:14" ht="15" x14ac:dyDescent="0.25">
      <c r="A16" s="69"/>
      <c r="B16" s="19"/>
      <c r="C16" s="19"/>
      <c r="D16" s="19"/>
      <c r="E16" s="19"/>
      <c r="F16" s="69"/>
      <c r="G16" s="69"/>
      <c r="H16" s="69"/>
      <c r="I16" s="69"/>
      <c r="J16" s="69"/>
      <c r="K16" s="69"/>
      <c r="L16" s="69"/>
      <c r="M16" s="69"/>
    </row>
    <row r="17" spans="1:13" ht="15" x14ac:dyDescent="0.25">
      <c r="A17" s="69"/>
      <c r="B17" s="19"/>
      <c r="C17" s="19"/>
      <c r="D17" s="19"/>
      <c r="E17" s="19"/>
      <c r="F17" s="69"/>
      <c r="G17" s="69"/>
      <c r="H17" s="69"/>
      <c r="I17" s="69"/>
      <c r="J17" s="69"/>
      <c r="K17" s="69"/>
      <c r="L17" s="69"/>
      <c r="M17" s="69"/>
    </row>
    <row r="18" spans="1:13" ht="16.8" x14ac:dyDescent="0.4">
      <c r="A18" s="69"/>
      <c r="B18" s="71"/>
      <c r="C18" s="71"/>
      <c r="D18" s="19"/>
      <c r="E18" s="19"/>
      <c r="F18" s="69"/>
      <c r="G18" s="69"/>
      <c r="H18" s="69"/>
      <c r="I18" s="69"/>
      <c r="J18" s="69"/>
      <c r="K18" s="69"/>
      <c r="L18" s="69"/>
      <c r="M18" s="69"/>
    </row>
    <row r="19" spans="1:13" ht="15" x14ac:dyDescent="0.25">
      <c r="A19" s="69"/>
      <c r="B19" s="19"/>
      <c r="C19" s="19"/>
      <c r="D19" s="19"/>
      <c r="E19" s="19"/>
      <c r="F19" s="69"/>
      <c r="G19" s="69"/>
      <c r="H19" s="69"/>
      <c r="I19" s="69"/>
      <c r="J19" s="70" t="s">
        <v>45</v>
      </c>
      <c r="K19" s="69"/>
      <c r="L19" s="69"/>
      <c r="M19" s="69"/>
    </row>
    <row r="20" spans="1:13" ht="15" x14ac:dyDescent="0.25">
      <c r="A20" s="69"/>
      <c r="B20" s="19"/>
      <c r="C20" s="19"/>
      <c r="D20" s="19"/>
      <c r="E20" s="19"/>
      <c r="F20" s="69"/>
      <c r="G20" s="69"/>
      <c r="H20" s="69"/>
      <c r="I20" s="69"/>
      <c r="J20" s="69" t="s">
        <v>45</v>
      </c>
      <c r="K20" s="69"/>
      <c r="L20" s="69"/>
      <c r="M20" s="69"/>
    </row>
    <row r="21" spans="1:13" ht="15" x14ac:dyDescent="0.25">
      <c r="A21" s="69"/>
      <c r="B21" s="19"/>
      <c r="C21" s="19"/>
      <c r="D21" s="19"/>
      <c r="E21" s="19" t="s">
        <v>45</v>
      </c>
      <c r="F21" s="69"/>
      <c r="G21" s="69"/>
      <c r="H21" s="69"/>
      <c r="I21" s="69"/>
      <c r="J21" s="69"/>
      <c r="K21" s="69"/>
      <c r="L21" s="69"/>
      <c r="M21" s="69"/>
    </row>
    <row r="22" spans="1:13" ht="15" x14ac:dyDescent="0.25">
      <c r="A22" s="69"/>
      <c r="B22" s="19"/>
      <c r="C22" s="19"/>
      <c r="D22" s="19"/>
      <c r="E22" s="19"/>
      <c r="F22" s="69"/>
      <c r="G22" s="69"/>
      <c r="H22" s="69"/>
      <c r="I22" s="69"/>
      <c r="J22" s="69"/>
      <c r="K22" s="69"/>
      <c r="L22" s="69"/>
      <c r="M22" s="69"/>
    </row>
    <row r="23" spans="1:13" ht="15" x14ac:dyDescent="0.25">
      <c r="A23" s="69"/>
      <c r="B23" s="19"/>
      <c r="C23" s="19"/>
      <c r="D23" s="19"/>
      <c r="E23" s="19"/>
      <c r="F23" s="69"/>
      <c r="G23" s="69"/>
      <c r="H23" s="69"/>
      <c r="I23" s="69"/>
      <c r="J23" s="69"/>
      <c r="K23" s="69"/>
      <c r="L23" s="69"/>
      <c r="M23" s="69"/>
    </row>
    <row r="24" spans="1:13" ht="15" x14ac:dyDescent="0.25">
      <c r="A24" s="69"/>
      <c r="B24" s="19"/>
      <c r="C24" s="19"/>
      <c r="D24" s="19"/>
      <c r="E24" s="19"/>
      <c r="F24" s="69"/>
      <c r="G24" s="69"/>
      <c r="H24" s="69"/>
      <c r="I24" s="69"/>
      <c r="J24" s="69"/>
      <c r="K24" s="69"/>
      <c r="L24" s="69"/>
      <c r="M24" s="69"/>
    </row>
    <row r="25" spans="1:13" ht="15" x14ac:dyDescent="0.25">
      <c r="A25" s="69"/>
      <c r="B25" s="19"/>
      <c r="C25" s="19"/>
      <c r="D25" s="19"/>
      <c r="E25" s="19"/>
      <c r="F25" s="69"/>
      <c r="G25" s="69"/>
      <c r="H25" s="69"/>
      <c r="I25" s="69"/>
      <c r="J25" s="69"/>
      <c r="K25" s="69"/>
      <c r="L25" s="69"/>
      <c r="M25" s="69"/>
    </row>
    <row r="26" spans="1:13" ht="15" x14ac:dyDescent="0.25">
      <c r="A26" s="69"/>
      <c r="B26" s="19"/>
      <c r="C26" s="19"/>
      <c r="D26" s="19"/>
      <c r="E26" s="19"/>
      <c r="F26" s="69"/>
      <c r="G26" s="69"/>
      <c r="H26" s="69"/>
      <c r="I26" s="69"/>
      <c r="J26" s="69"/>
      <c r="K26" s="69"/>
      <c r="L26" s="69"/>
      <c r="M26" s="69"/>
    </row>
    <row r="27" spans="1:13" ht="15" x14ac:dyDescent="0.25">
      <c r="A27" s="69"/>
      <c r="B27" s="19"/>
      <c r="C27" s="19"/>
      <c r="D27" s="19"/>
      <c r="E27" s="19"/>
      <c r="F27" s="69"/>
      <c r="G27" s="69"/>
      <c r="H27" s="69"/>
      <c r="I27" s="69"/>
      <c r="J27" s="69"/>
      <c r="K27" s="69"/>
      <c r="L27" s="69"/>
      <c r="M27" s="69"/>
    </row>
    <row r="28" spans="1:13" ht="15" x14ac:dyDescent="0.25">
      <c r="A28" s="69"/>
      <c r="B28" s="19"/>
      <c r="C28" s="19"/>
      <c r="D28" s="19"/>
      <c r="E28" s="19"/>
      <c r="F28" s="69"/>
      <c r="G28" s="69"/>
      <c r="H28" s="69"/>
      <c r="I28" s="69"/>
      <c r="J28" s="69"/>
      <c r="K28" s="69"/>
      <c r="L28" s="69"/>
      <c r="M28" s="69"/>
    </row>
    <row r="29" spans="1:13" ht="15" x14ac:dyDescent="0.25">
      <c r="A29" s="69"/>
      <c r="B29" s="19"/>
      <c r="C29" s="19"/>
      <c r="D29" s="19"/>
      <c r="E29" s="19"/>
      <c r="F29" s="69"/>
      <c r="G29" s="69"/>
      <c r="H29" s="69"/>
      <c r="I29" s="69"/>
      <c r="J29" s="69"/>
      <c r="K29" s="69"/>
      <c r="L29" s="69"/>
      <c r="M29" s="69"/>
    </row>
    <row r="30" spans="1:13" ht="15" x14ac:dyDescent="0.25">
      <c r="A30" s="69"/>
      <c r="B30" s="19"/>
      <c r="C30" s="19"/>
      <c r="D30" s="19"/>
      <c r="E30" s="19"/>
      <c r="F30" s="69"/>
      <c r="G30" s="69"/>
      <c r="H30" s="69"/>
      <c r="I30" s="69"/>
      <c r="J30" s="69"/>
      <c r="K30" s="69"/>
      <c r="L30" s="69"/>
      <c r="M30" s="69"/>
    </row>
    <row r="31" spans="1:13" ht="15" x14ac:dyDescent="0.25">
      <c r="A31" s="69"/>
      <c r="B31" s="19"/>
      <c r="C31" s="19"/>
      <c r="D31" s="19"/>
      <c r="E31" s="19"/>
      <c r="F31" s="69"/>
      <c r="G31" s="69"/>
      <c r="H31" s="69"/>
      <c r="I31" s="69"/>
      <c r="J31" s="69"/>
      <c r="K31" s="69"/>
      <c r="L31" s="69"/>
      <c r="M31" s="69"/>
    </row>
    <row r="32" spans="1:13" ht="15" x14ac:dyDescent="0.25">
      <c r="A32" s="69"/>
      <c r="B32" s="19"/>
      <c r="C32" s="19"/>
      <c r="D32" s="19"/>
      <c r="E32" s="19"/>
      <c r="F32" s="69"/>
      <c r="G32" s="69"/>
      <c r="H32" s="69"/>
      <c r="I32" s="69"/>
      <c r="J32" s="69"/>
      <c r="K32" s="69"/>
      <c r="L32" s="69"/>
      <c r="M32" s="69"/>
    </row>
    <row r="33" spans="1:13" ht="15" x14ac:dyDescent="0.25">
      <c r="A33" s="69"/>
      <c r="B33" s="19"/>
      <c r="C33" s="19"/>
      <c r="D33" s="19"/>
      <c r="E33" s="19"/>
      <c r="F33" s="69"/>
      <c r="G33" s="69"/>
      <c r="H33" s="69"/>
      <c r="I33" s="69"/>
      <c r="J33" s="69"/>
      <c r="K33" s="69"/>
      <c r="L33" s="69"/>
      <c r="M33" s="69"/>
    </row>
    <row r="34" spans="1:13" ht="15" x14ac:dyDescent="0.25">
      <c r="A34" s="69"/>
      <c r="B34" s="19"/>
      <c r="C34" s="19"/>
      <c r="D34" s="19"/>
      <c r="E34" s="19"/>
      <c r="F34" s="69"/>
      <c r="G34" s="69"/>
      <c r="H34" s="69"/>
      <c r="I34" s="69"/>
      <c r="J34" s="69"/>
      <c r="K34" s="69"/>
      <c r="L34" s="69"/>
      <c r="M34" s="69"/>
    </row>
    <row r="35" spans="1:13" ht="15" x14ac:dyDescent="0.25">
      <c r="A35" s="69"/>
      <c r="B35" s="19"/>
      <c r="C35" s="19"/>
      <c r="D35" s="19"/>
      <c r="E35" s="19"/>
      <c r="F35" s="69"/>
      <c r="G35" s="69"/>
      <c r="H35" s="69"/>
      <c r="I35" s="69"/>
      <c r="J35" s="69"/>
      <c r="K35" s="69"/>
      <c r="L35" s="69"/>
      <c r="M35" s="69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36A4-6AEC-4F45-B6BB-6AD96406C14B}">
  <dimension ref="A1:A10"/>
  <sheetViews>
    <sheetView zoomScaleNormal="100" workbookViewId="0">
      <selection activeCell="Q19" sqref="Q19"/>
    </sheetView>
  </sheetViews>
  <sheetFormatPr defaultColWidth="9.109375" defaultRowHeight="14.4" x14ac:dyDescent="0.3"/>
  <cols>
    <col min="1" max="16384" width="9.109375" style="59"/>
  </cols>
  <sheetData>
    <row r="1" spans="1:1" ht="17.399999999999999" x14ac:dyDescent="0.3">
      <c r="A1" s="58"/>
    </row>
    <row r="2" spans="1:1" ht="18" x14ac:dyDescent="0.3">
      <c r="A2" s="60"/>
    </row>
    <row r="3" spans="1:1" ht="18" x14ac:dyDescent="0.3">
      <c r="A3" s="60"/>
    </row>
    <row r="4" spans="1:1" ht="18" x14ac:dyDescent="0.3">
      <c r="A4" s="60"/>
    </row>
    <row r="5" spans="1:1" ht="18" x14ac:dyDescent="0.3">
      <c r="A5" s="60"/>
    </row>
    <row r="6" spans="1:1" ht="17.399999999999999" x14ac:dyDescent="0.3">
      <c r="A6" s="58"/>
    </row>
    <row r="7" spans="1:1" ht="18" x14ac:dyDescent="0.3">
      <c r="A7" s="60"/>
    </row>
    <row r="8" spans="1:1" ht="17.399999999999999" x14ac:dyDescent="0.3">
      <c r="A8" s="61"/>
    </row>
    <row r="9" spans="1:1" ht="17.399999999999999" x14ac:dyDescent="0.3">
      <c r="A9" s="62"/>
    </row>
    <row r="10" spans="1:1" ht="17.399999999999999" x14ac:dyDescent="0.3">
      <c r="A10" s="6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C26"/>
  <sheetViews>
    <sheetView workbookViewId="0">
      <selection sqref="A1:C1"/>
    </sheetView>
  </sheetViews>
  <sheetFormatPr defaultRowHeight="13.2" x14ac:dyDescent="0.25"/>
  <cols>
    <col min="1" max="1" width="42.6640625" bestFit="1" customWidth="1"/>
    <col min="2" max="2" width="13" customWidth="1"/>
    <col min="3" max="3" width="12.33203125" customWidth="1"/>
  </cols>
  <sheetData>
    <row r="1" spans="1:3" ht="15.6" x14ac:dyDescent="0.3">
      <c r="A1" s="72" t="s">
        <v>78</v>
      </c>
      <c r="B1" s="72"/>
      <c r="C1" s="72"/>
    </row>
    <row r="2" spans="1:3" ht="15.6" x14ac:dyDescent="0.3">
      <c r="A2" s="72" t="s">
        <v>47</v>
      </c>
      <c r="B2" s="72"/>
      <c r="C2" s="72"/>
    </row>
    <row r="3" spans="1:3" ht="15.6" x14ac:dyDescent="0.3">
      <c r="A3" s="74" t="s">
        <v>79</v>
      </c>
      <c r="B3" s="74"/>
      <c r="C3" s="74"/>
    </row>
    <row r="4" spans="1:3" ht="15" x14ac:dyDescent="0.25">
      <c r="A4" s="73"/>
      <c r="B4" s="73"/>
      <c r="C4" s="73"/>
    </row>
    <row r="5" spans="1:3" ht="15.6" x14ac:dyDescent="0.3">
      <c r="A5" s="72" t="s">
        <v>6</v>
      </c>
      <c r="B5" s="72"/>
      <c r="C5" s="72"/>
    </row>
    <row r="6" spans="1:3" ht="15.6" x14ac:dyDescent="0.3">
      <c r="A6" s="1" t="s">
        <v>7</v>
      </c>
      <c r="B6" s="1"/>
      <c r="C6" s="25"/>
    </row>
    <row r="7" spans="1:3" ht="15" x14ac:dyDescent="0.25">
      <c r="A7" s="1" t="s">
        <v>57</v>
      </c>
      <c r="B7" s="19">
        <v>68000</v>
      </c>
      <c r="C7" s="1"/>
    </row>
    <row r="8" spans="1:3" ht="15" x14ac:dyDescent="0.25">
      <c r="A8" s="1" t="s">
        <v>75</v>
      </c>
      <c r="B8" s="26">
        <v>80000</v>
      </c>
      <c r="C8" s="26"/>
    </row>
    <row r="9" spans="1:3" ht="16.8" x14ac:dyDescent="0.4">
      <c r="A9" s="1" t="s">
        <v>77</v>
      </c>
      <c r="B9" s="32">
        <v>13200</v>
      </c>
      <c r="C9" s="1"/>
    </row>
    <row r="10" spans="1:3" ht="15" x14ac:dyDescent="0.25">
      <c r="A10" s="1" t="s">
        <v>48</v>
      </c>
      <c r="C10" s="19">
        <f>SUM(B7:B9)</f>
        <v>161200</v>
      </c>
    </row>
    <row r="11" spans="1:3" ht="15" x14ac:dyDescent="0.25">
      <c r="A11" s="1" t="s">
        <v>8</v>
      </c>
      <c r="B11" s="19"/>
      <c r="C11" s="1"/>
    </row>
    <row r="12" spans="1:3" ht="15" x14ac:dyDescent="0.25">
      <c r="A12" s="1" t="s">
        <v>58</v>
      </c>
      <c r="B12" s="26">
        <v>900000</v>
      </c>
      <c r="C12" s="1"/>
    </row>
    <row r="13" spans="1:3" ht="16.8" x14ac:dyDescent="0.4">
      <c r="A13" s="1" t="s">
        <v>59</v>
      </c>
      <c r="B13" s="32">
        <v>-292000</v>
      </c>
      <c r="C13" s="1"/>
    </row>
    <row r="14" spans="1:3" ht="16.8" x14ac:dyDescent="0.4">
      <c r="A14" s="1" t="s">
        <v>49</v>
      </c>
      <c r="C14" s="32">
        <f>SUM(B12:B13)</f>
        <v>608000</v>
      </c>
    </row>
    <row r="15" spans="1:3" ht="16.8" x14ac:dyDescent="0.4">
      <c r="A15" s="1" t="s">
        <v>50</v>
      </c>
      <c r="C15" s="27">
        <f>+C10+C14</f>
        <v>769200</v>
      </c>
    </row>
    <row r="16" spans="1:3" ht="15" x14ac:dyDescent="0.25">
      <c r="A16" s="1"/>
      <c r="B16" s="19"/>
      <c r="C16" s="1"/>
    </row>
    <row r="17" spans="1:3" ht="15.6" x14ac:dyDescent="0.3">
      <c r="A17" s="72" t="s">
        <v>56</v>
      </c>
      <c r="B17" s="72"/>
      <c r="C17" s="72"/>
    </row>
    <row r="18" spans="1:3" ht="15" x14ac:dyDescent="0.25">
      <c r="A18" s="1" t="s">
        <v>11</v>
      </c>
      <c r="B18" s="19"/>
      <c r="C18" s="1"/>
    </row>
    <row r="19" spans="1:3" ht="15" x14ac:dyDescent="0.25">
      <c r="A19" s="1" t="s">
        <v>60</v>
      </c>
      <c r="C19" s="19">
        <v>40000</v>
      </c>
    </row>
    <row r="20" spans="1:3" ht="15" x14ac:dyDescent="0.25">
      <c r="A20" s="1" t="s">
        <v>51</v>
      </c>
      <c r="B20" s="19"/>
      <c r="C20" s="1"/>
    </row>
    <row r="21" spans="1:3" ht="15" x14ac:dyDescent="0.25">
      <c r="A21" s="1" t="s">
        <v>61</v>
      </c>
      <c r="B21" s="19">
        <v>253000</v>
      </c>
      <c r="C21" s="1"/>
    </row>
    <row r="22" spans="1:3" ht="16.8" x14ac:dyDescent="0.4">
      <c r="A22" s="1" t="s">
        <v>62</v>
      </c>
      <c r="B22" s="32">
        <v>476200</v>
      </c>
      <c r="C22" s="26"/>
    </row>
    <row r="23" spans="1:3" ht="16.8" x14ac:dyDescent="0.4">
      <c r="A23" s="1" t="s">
        <v>52</v>
      </c>
      <c r="B23" s="31"/>
      <c r="C23" s="32">
        <f>SUM(B21:B22)</f>
        <v>729200</v>
      </c>
    </row>
    <row r="24" spans="1:3" ht="16.8" x14ac:dyDescent="0.4">
      <c r="A24" s="1" t="s">
        <v>53</v>
      </c>
      <c r="C24" s="27">
        <f>+C19+C23</f>
        <v>769200</v>
      </c>
    </row>
    <row r="25" spans="1:3" ht="15" x14ac:dyDescent="0.25">
      <c r="C25" s="1"/>
    </row>
    <row r="26" spans="1:3" ht="15" x14ac:dyDescent="0.25">
      <c r="C26" s="1"/>
    </row>
  </sheetData>
  <mergeCells count="6">
    <mergeCell ref="A5:C5"/>
    <mergeCell ref="A17:C17"/>
    <mergeCell ref="A4:C4"/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O29"/>
  <sheetViews>
    <sheetView zoomScale="87" zoomScaleNormal="87" workbookViewId="0">
      <selection activeCell="F35" sqref="F35"/>
    </sheetView>
  </sheetViews>
  <sheetFormatPr defaultRowHeight="13.2" x14ac:dyDescent="0.25"/>
  <cols>
    <col min="1" max="1" width="90.33203125" bestFit="1" customWidth="1"/>
    <col min="2" max="2" width="12.5546875" customWidth="1"/>
    <col min="3" max="15" width="13.44140625" customWidth="1"/>
  </cols>
  <sheetData>
    <row r="1" spans="1:15" ht="15.6" x14ac:dyDescent="0.3">
      <c r="A1" s="72" t="s">
        <v>78</v>
      </c>
      <c r="B1" s="72"/>
      <c r="C1" s="72"/>
      <c r="D1" s="72"/>
      <c r="E1" s="72"/>
      <c r="F1" s="72"/>
      <c r="G1" s="18"/>
      <c r="K1" s="18"/>
      <c r="L1" s="18"/>
    </row>
    <row r="2" spans="1:15" ht="15.6" x14ac:dyDescent="0.3">
      <c r="A2" s="72" t="s">
        <v>63</v>
      </c>
      <c r="B2" s="72"/>
      <c r="C2" s="72"/>
      <c r="D2" s="72"/>
      <c r="E2" s="72"/>
      <c r="F2" s="72"/>
      <c r="G2" s="18"/>
      <c r="K2" s="18"/>
      <c r="L2" s="18"/>
    </row>
    <row r="3" spans="1:15" ht="15.6" x14ac:dyDescent="0.3">
      <c r="A3" s="72" t="s">
        <v>96</v>
      </c>
      <c r="B3" s="72"/>
      <c r="C3" s="72"/>
      <c r="D3" s="72"/>
      <c r="E3" s="72"/>
      <c r="F3" s="72"/>
      <c r="G3" s="18"/>
      <c r="K3" s="18"/>
      <c r="L3" s="18"/>
    </row>
    <row r="4" spans="1:15" ht="17.399999999999999" x14ac:dyDescent="0.3">
      <c r="A4" s="1"/>
      <c r="B4" s="75" t="s">
        <v>45</v>
      </c>
      <c r="C4" s="75"/>
      <c r="D4" s="75"/>
      <c r="E4" s="75"/>
      <c r="F4" s="75"/>
      <c r="G4" s="38" t="s">
        <v>45</v>
      </c>
    </row>
    <row r="5" spans="1:15" ht="31.2" x14ac:dyDescent="0.3">
      <c r="A5" s="1"/>
      <c r="B5" s="28" t="s">
        <v>80</v>
      </c>
      <c r="C5" s="2" t="s">
        <v>81</v>
      </c>
      <c r="D5" s="2" t="s">
        <v>82</v>
      </c>
      <c r="E5" s="2" t="s">
        <v>83</v>
      </c>
      <c r="F5" s="2" t="s">
        <v>84</v>
      </c>
      <c r="G5" s="37" t="s">
        <v>85</v>
      </c>
      <c r="H5" s="2" t="s">
        <v>86</v>
      </c>
      <c r="I5" s="2" t="s">
        <v>87</v>
      </c>
      <c r="J5" s="2" t="s">
        <v>88</v>
      </c>
      <c r="K5" s="2" t="s">
        <v>89</v>
      </c>
      <c r="L5" s="2" t="s">
        <v>90</v>
      </c>
      <c r="M5" s="2" t="s">
        <v>91</v>
      </c>
      <c r="N5" s="2" t="s">
        <v>92</v>
      </c>
    </row>
    <row r="6" spans="1:15" ht="15.6" x14ac:dyDescent="0.3">
      <c r="A6" s="24" t="s">
        <v>97</v>
      </c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45</v>
      </c>
    </row>
    <row r="7" spans="1:15" ht="15" x14ac:dyDescent="0.25">
      <c r="A7" s="1" t="s">
        <v>72</v>
      </c>
      <c r="B7" s="1"/>
      <c r="C7" s="26">
        <v>900</v>
      </c>
      <c r="D7" s="26">
        <v>700</v>
      </c>
      <c r="E7" s="26">
        <v>1000</v>
      </c>
      <c r="F7" s="26">
        <v>1100</v>
      </c>
      <c r="G7" s="26">
        <v>1400</v>
      </c>
      <c r="H7" s="26">
        <v>2500</v>
      </c>
      <c r="I7" s="26">
        <v>3000</v>
      </c>
      <c r="J7" s="26">
        <v>3200</v>
      </c>
      <c r="K7" s="26">
        <v>2100</v>
      </c>
      <c r="L7" s="26">
        <v>1600</v>
      </c>
      <c r="M7" s="26">
        <v>1500</v>
      </c>
      <c r="N7" s="26">
        <v>1100</v>
      </c>
    </row>
    <row r="8" spans="1:15" ht="15" x14ac:dyDescent="0.25">
      <c r="A8" s="1" t="s">
        <v>70</v>
      </c>
      <c r="B8" s="29">
        <v>90</v>
      </c>
      <c r="C8" s="29"/>
      <c r="D8" s="29"/>
      <c r="E8" s="29"/>
      <c r="F8" s="29"/>
      <c r="G8" s="1"/>
      <c r="H8" s="1"/>
      <c r="I8" s="1"/>
      <c r="J8" s="1"/>
      <c r="K8" s="1"/>
      <c r="L8" s="1"/>
      <c r="M8" s="1"/>
      <c r="N8" s="1"/>
    </row>
    <row r="9" spans="1:15" ht="15" x14ac:dyDescent="0.25">
      <c r="A9" s="1" t="s">
        <v>94</v>
      </c>
      <c r="B9" s="30">
        <v>0.2</v>
      </c>
      <c r="C9" s="30"/>
      <c r="D9" s="30"/>
      <c r="E9" s="30"/>
      <c r="F9" s="30"/>
      <c r="G9" s="1"/>
      <c r="H9" s="1"/>
      <c r="I9" s="1"/>
      <c r="J9" s="1"/>
      <c r="K9" s="1"/>
      <c r="L9" s="1"/>
      <c r="M9" s="1"/>
      <c r="N9" s="1"/>
    </row>
    <row r="10" spans="1:15" ht="15" x14ac:dyDescent="0.25">
      <c r="A10" s="1" t="s">
        <v>95</v>
      </c>
      <c r="B10" s="30">
        <v>0.8</v>
      </c>
      <c r="C10" s="30"/>
      <c r="D10" s="30"/>
      <c r="E10" s="30"/>
      <c r="F10" s="30"/>
      <c r="G10" s="1"/>
      <c r="H10" s="1"/>
      <c r="I10" s="1"/>
      <c r="J10" s="1"/>
      <c r="K10" s="1"/>
      <c r="L10" s="1"/>
      <c r="M10" s="1"/>
      <c r="N10" s="1"/>
    </row>
    <row r="11" spans="1:15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15.6" x14ac:dyDescent="0.3">
      <c r="A12" s="24" t="s">
        <v>98</v>
      </c>
      <c r="B12" s="2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5" x14ac:dyDescent="0.25">
      <c r="A13" s="1" t="s">
        <v>104</v>
      </c>
      <c r="B13" s="41">
        <v>0.55000000000000004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" x14ac:dyDescent="0.25">
      <c r="A14" s="1" t="s">
        <v>103</v>
      </c>
      <c r="B14" s="30">
        <v>0.25</v>
      </c>
      <c r="C14" s="30"/>
      <c r="D14" s="30"/>
      <c r="E14" s="30"/>
      <c r="F14" s="30"/>
      <c r="G14" s="1"/>
      <c r="H14" s="1"/>
      <c r="I14" s="1"/>
      <c r="J14" s="1"/>
      <c r="K14" s="1"/>
      <c r="L14" s="1"/>
      <c r="M14" s="1"/>
      <c r="N14" s="1"/>
    </row>
    <row r="15" spans="1:15" ht="15" x14ac:dyDescent="0.25">
      <c r="A15" s="1" t="s">
        <v>105</v>
      </c>
      <c r="B15" s="30">
        <v>0.15</v>
      </c>
      <c r="C15" s="30"/>
      <c r="D15" s="30"/>
      <c r="E15" s="30"/>
      <c r="F15" s="30"/>
      <c r="G15" s="1"/>
      <c r="H15" s="1"/>
      <c r="I15" s="1"/>
      <c r="J15" s="1"/>
      <c r="K15" s="1"/>
      <c r="L15" s="1"/>
      <c r="M15" s="1"/>
      <c r="N15" s="1"/>
    </row>
    <row r="16" spans="1:15" ht="15" x14ac:dyDescent="0.25">
      <c r="A16" s="1" t="s">
        <v>106</v>
      </c>
      <c r="B16" s="30">
        <v>0.85</v>
      </c>
      <c r="C16" s="30"/>
      <c r="D16" s="30"/>
      <c r="E16" s="30"/>
      <c r="F16" s="30"/>
      <c r="G16" s="1"/>
      <c r="H16" s="1"/>
      <c r="I16" s="1"/>
      <c r="J16" s="1"/>
      <c r="K16" s="1"/>
      <c r="L16" s="1"/>
      <c r="M16" s="1"/>
      <c r="N16" s="1"/>
    </row>
    <row r="17" spans="1:14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6" x14ac:dyDescent="0.3">
      <c r="A18" s="24" t="s">
        <v>99</v>
      </c>
      <c r="B18" s="24"/>
      <c r="C18" s="29"/>
      <c r="D18" s="29"/>
      <c r="E18" s="29"/>
      <c r="F18" s="29"/>
      <c r="G18" s="1"/>
      <c r="H18" s="1"/>
      <c r="I18" s="1"/>
      <c r="J18" s="1"/>
      <c r="K18" s="1"/>
      <c r="L18" s="1"/>
      <c r="M18" s="1"/>
      <c r="N18" s="1"/>
    </row>
    <row r="19" spans="1:14" ht="15" x14ac:dyDescent="0.25">
      <c r="A19" s="1" t="s">
        <v>73</v>
      </c>
      <c r="B19" s="29">
        <v>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" x14ac:dyDescent="0.25">
      <c r="A20" s="1" t="s">
        <v>93</v>
      </c>
      <c r="B20" s="1"/>
      <c r="C20" s="19"/>
      <c r="D20" s="19"/>
      <c r="E20" s="19"/>
      <c r="F20" s="19"/>
      <c r="G20" s="1"/>
      <c r="H20" s="1"/>
      <c r="I20" s="1"/>
      <c r="J20" s="1"/>
      <c r="K20" s="1"/>
      <c r="L20" s="1"/>
      <c r="M20" s="1"/>
      <c r="N20" s="1"/>
    </row>
    <row r="21" spans="1:14" ht="15" x14ac:dyDescent="0.25">
      <c r="A21" s="1" t="s">
        <v>31</v>
      </c>
      <c r="B21" s="19">
        <v>15000</v>
      </c>
      <c r="C21" s="19"/>
      <c r="D21" s="19"/>
      <c r="E21" s="19"/>
      <c r="F21" s="19"/>
      <c r="G21" s="1"/>
      <c r="H21" s="1"/>
      <c r="I21" s="1"/>
      <c r="J21" s="1"/>
      <c r="K21" s="1"/>
      <c r="L21" s="1"/>
      <c r="M21" s="1"/>
      <c r="N21" s="1"/>
    </row>
    <row r="22" spans="1:14" ht="15" x14ac:dyDescent="0.25">
      <c r="A22" s="1" t="s">
        <v>32</v>
      </c>
      <c r="B22" s="19">
        <v>20000</v>
      </c>
      <c r="C22" s="19"/>
      <c r="D22" s="19"/>
      <c r="E22" s="19"/>
      <c r="F22" s="19"/>
      <c r="G22" s="1"/>
      <c r="H22" s="1"/>
      <c r="I22" s="1"/>
      <c r="J22" s="1"/>
      <c r="K22" s="1"/>
      <c r="L22" s="1"/>
      <c r="M22" s="1"/>
      <c r="N22" s="1"/>
    </row>
    <row r="23" spans="1:14" ht="15" x14ac:dyDescent="0.25">
      <c r="A23" s="1" t="s">
        <v>20</v>
      </c>
      <c r="B23" s="19">
        <v>6000</v>
      </c>
      <c r="C23" s="19"/>
      <c r="D23" s="19"/>
      <c r="E23" s="19"/>
      <c r="F23" s="19"/>
      <c r="G23" s="1"/>
      <c r="H23" s="1"/>
      <c r="I23" s="1"/>
      <c r="J23" s="1"/>
      <c r="K23" s="1"/>
      <c r="L23" s="1"/>
      <c r="M23" s="1"/>
      <c r="N23" s="1"/>
    </row>
    <row r="24" spans="1:14" ht="15" x14ac:dyDescent="0.25">
      <c r="A24" s="1" t="s">
        <v>46</v>
      </c>
      <c r="B24" s="19">
        <v>5000</v>
      </c>
      <c r="C24" s="19"/>
      <c r="D24" s="19"/>
      <c r="E24" s="19"/>
      <c r="F24" s="19"/>
      <c r="G24" s="1"/>
      <c r="H24" s="1"/>
      <c r="I24" s="1"/>
      <c r="J24" s="1"/>
      <c r="K24" s="1"/>
      <c r="L24" s="1"/>
      <c r="M24" s="1"/>
      <c r="N24" s="1"/>
    </row>
    <row r="25" spans="1:14" ht="15" x14ac:dyDescent="0.25">
      <c r="A25" s="1" t="s">
        <v>33</v>
      </c>
      <c r="B25" s="19">
        <v>8000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24" t="s">
        <v>34</v>
      </c>
      <c r="B27" s="24"/>
      <c r="C27" s="19"/>
      <c r="D27" s="19"/>
      <c r="E27" s="19"/>
      <c r="F27" s="19"/>
      <c r="G27" s="1"/>
      <c r="H27" s="1"/>
      <c r="I27" s="1"/>
      <c r="J27" s="1"/>
      <c r="K27" s="1"/>
      <c r="L27" s="1"/>
      <c r="M27" s="1"/>
      <c r="N27" s="1"/>
    </row>
    <row r="28" spans="1:14" ht="15" x14ac:dyDescent="0.25">
      <c r="A28" s="1" t="s">
        <v>55</v>
      </c>
      <c r="B28" s="19">
        <v>30000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 x14ac:dyDescent="0.25">
      <c r="A29" s="1" t="s">
        <v>117</v>
      </c>
      <c r="B29" s="30">
        <v>0.01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4">
    <mergeCell ref="A1:F1"/>
    <mergeCell ref="A2:F2"/>
    <mergeCell ref="A3:F3"/>
    <mergeCell ref="B4:F4"/>
  </mergeCells>
  <printOptions gridLines="1"/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8" tint="0.39997558519241921"/>
  </sheetPr>
  <dimension ref="A1:N20"/>
  <sheetViews>
    <sheetView zoomScale="90" zoomScaleNormal="90" workbookViewId="0">
      <selection activeCell="D6" sqref="D6"/>
    </sheetView>
  </sheetViews>
  <sheetFormatPr defaultRowHeight="13.2" x14ac:dyDescent="0.25"/>
  <cols>
    <col min="1" max="1" width="45" bestFit="1" customWidth="1"/>
    <col min="2" max="2" width="14.33203125" bestFit="1" customWidth="1"/>
    <col min="3" max="3" width="15" customWidth="1"/>
    <col min="4" max="4" width="15" bestFit="1" customWidth="1"/>
    <col min="5" max="5" width="13.6640625" bestFit="1" customWidth="1"/>
    <col min="6" max="6" width="15" bestFit="1" customWidth="1"/>
    <col min="7" max="13" width="15" customWidth="1"/>
    <col min="14" max="14" width="14.33203125" bestFit="1" customWidth="1"/>
  </cols>
  <sheetData>
    <row r="1" spans="1:14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6" x14ac:dyDescent="0.3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6" x14ac:dyDescent="0.3">
      <c r="A3" s="72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5.6" x14ac:dyDescent="0.3">
      <c r="A4" s="18"/>
      <c r="B4" s="18"/>
      <c r="C4" s="18"/>
      <c r="D4" s="18"/>
      <c r="E4" s="18"/>
      <c r="F4" s="18"/>
    </row>
    <row r="5" spans="1:14" ht="15.6" x14ac:dyDescent="0.3">
      <c r="A5" s="1"/>
      <c r="B5" s="2" t="s">
        <v>81</v>
      </c>
      <c r="C5" s="2" t="s">
        <v>82</v>
      </c>
      <c r="D5" s="2" t="s">
        <v>83</v>
      </c>
      <c r="E5" s="2" t="s">
        <v>84</v>
      </c>
      <c r="F5" s="2" t="s">
        <v>100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  <c r="N5" s="2" t="s">
        <v>54</v>
      </c>
    </row>
    <row r="6" spans="1:14" ht="15" x14ac:dyDescent="0.25">
      <c r="A6" s="1" t="s">
        <v>72</v>
      </c>
      <c r="B6" s="3">
        <f>'Budgeting Assumptions'!C7</f>
        <v>900</v>
      </c>
      <c r="C6" s="3">
        <f>'Budgeting Assumptions'!D7</f>
        <v>700</v>
      </c>
      <c r="D6" s="3">
        <f>'Budgeting Assumptions'!E7</f>
        <v>1000</v>
      </c>
      <c r="E6" s="3">
        <f>'Budgeting Assumptions'!F7</f>
        <v>1100</v>
      </c>
      <c r="F6" s="3">
        <f>'Budgeting Assumptions'!G7</f>
        <v>1400</v>
      </c>
      <c r="G6" s="3">
        <f>'Budgeting Assumptions'!H7</f>
        <v>2500</v>
      </c>
      <c r="H6" s="3">
        <f>'Budgeting Assumptions'!I7</f>
        <v>3000</v>
      </c>
      <c r="I6" s="3">
        <f>'Budgeting Assumptions'!J7</f>
        <v>3200</v>
      </c>
      <c r="J6" s="3">
        <f>'Budgeting Assumptions'!K7</f>
        <v>2100</v>
      </c>
      <c r="K6" s="3">
        <f>'Budgeting Assumptions'!L7</f>
        <v>1600</v>
      </c>
      <c r="L6" s="3">
        <f>'Budgeting Assumptions'!M7</f>
        <v>1500</v>
      </c>
      <c r="M6" s="3">
        <f>'Budgeting Assumptions'!N7</f>
        <v>1100</v>
      </c>
      <c r="N6" s="3">
        <f>SUM(B6:M6)</f>
        <v>20100</v>
      </c>
    </row>
    <row r="7" spans="1:14" ht="16.8" x14ac:dyDescent="0.4">
      <c r="A7" s="1" t="s">
        <v>70</v>
      </c>
      <c r="B7" s="4">
        <f>+'Budgeting Assumptions'!$B$8</f>
        <v>90</v>
      </c>
      <c r="C7" s="4">
        <f>+'Budgeting Assumptions'!$B$8</f>
        <v>90</v>
      </c>
      <c r="D7" s="4">
        <f>+'Budgeting Assumptions'!$B$8</f>
        <v>90</v>
      </c>
      <c r="E7" s="4">
        <f>+'Budgeting Assumptions'!$B$8</f>
        <v>90</v>
      </c>
      <c r="F7" s="4">
        <f>+'Budgeting Assumptions'!$B$8</f>
        <v>90</v>
      </c>
      <c r="G7" s="4">
        <f>+'Budgeting Assumptions'!$B$8</f>
        <v>90</v>
      </c>
      <c r="H7" s="4">
        <f>+'Budgeting Assumptions'!$B$8</f>
        <v>90</v>
      </c>
      <c r="I7" s="4">
        <f>+'Budgeting Assumptions'!$B$8</f>
        <v>90</v>
      </c>
      <c r="J7" s="4">
        <f>+'Budgeting Assumptions'!$B$8</f>
        <v>90</v>
      </c>
      <c r="K7" s="4">
        <f>+'Budgeting Assumptions'!$B$8</f>
        <v>90</v>
      </c>
      <c r="L7" s="4">
        <f>+'Budgeting Assumptions'!$B$8</f>
        <v>90</v>
      </c>
      <c r="M7" s="4">
        <f>+'Budgeting Assumptions'!$B$8</f>
        <v>90</v>
      </c>
      <c r="N7" s="4">
        <v>90</v>
      </c>
    </row>
    <row r="8" spans="1:14" ht="16.8" x14ac:dyDescent="0.4">
      <c r="A8" s="16" t="s">
        <v>0</v>
      </c>
      <c r="B8" s="5">
        <f>B6*B7</f>
        <v>81000</v>
      </c>
      <c r="C8" s="5">
        <f>C6*C7</f>
        <v>63000</v>
      </c>
      <c r="D8" s="5">
        <f>D6*D7</f>
        <v>90000</v>
      </c>
      <c r="E8" s="5">
        <f>E6*E7</f>
        <v>99000</v>
      </c>
      <c r="F8" s="5">
        <f>F6*F7</f>
        <v>126000</v>
      </c>
      <c r="G8" s="5">
        <f t="shared" ref="G8:N8" si="0">G6*G7</f>
        <v>225000</v>
      </c>
      <c r="H8" s="5">
        <f t="shared" si="0"/>
        <v>270000</v>
      </c>
      <c r="I8" s="5">
        <f t="shared" si="0"/>
        <v>288000</v>
      </c>
      <c r="J8" s="5">
        <f t="shared" si="0"/>
        <v>189000</v>
      </c>
      <c r="K8" s="5">
        <f t="shared" si="0"/>
        <v>144000</v>
      </c>
      <c r="L8" s="5">
        <f t="shared" si="0"/>
        <v>135000</v>
      </c>
      <c r="M8" s="5">
        <f t="shared" si="0"/>
        <v>99000</v>
      </c>
      <c r="N8" s="5">
        <f t="shared" si="0"/>
        <v>1809000</v>
      </c>
    </row>
    <row r="9" spans="1:14" ht="16.8" x14ac:dyDescent="0.4">
      <c r="A9" s="1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5" x14ac:dyDescent="0.25">
      <c r="A10" s="1"/>
      <c r="B10" s="1"/>
      <c r="C10" s="1"/>
      <c r="D10" s="1"/>
      <c r="E10" s="1"/>
      <c r="F10" s="1"/>
    </row>
    <row r="11" spans="1:14" ht="15.6" x14ac:dyDescent="0.3">
      <c r="A11" s="72" t="s">
        <v>16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14" ht="15.6" x14ac:dyDescent="0.3">
      <c r="A12" s="16"/>
      <c r="B12" s="2" t="s">
        <v>81</v>
      </c>
      <c r="C12" s="2" t="s">
        <v>82</v>
      </c>
      <c r="D12" s="2" t="s">
        <v>83</v>
      </c>
      <c r="E12" s="2" t="s">
        <v>84</v>
      </c>
      <c r="F12" s="2" t="s">
        <v>100</v>
      </c>
      <c r="G12" s="2" t="s">
        <v>86</v>
      </c>
      <c r="H12" s="2" t="s">
        <v>87</v>
      </c>
      <c r="I12" s="2" t="s">
        <v>88</v>
      </c>
      <c r="J12" s="2" t="s">
        <v>89</v>
      </c>
      <c r="K12" s="2" t="s">
        <v>90</v>
      </c>
      <c r="L12" s="2" t="s">
        <v>91</v>
      </c>
      <c r="M12" s="2" t="s">
        <v>92</v>
      </c>
    </row>
    <row r="13" spans="1:14" ht="15" x14ac:dyDescent="0.25">
      <c r="A13" s="1" t="s">
        <v>101</v>
      </c>
      <c r="B13" s="6">
        <f>'Beginning Balance Sheet'!B8</f>
        <v>80000</v>
      </c>
      <c r="C13" s="8">
        <f>B8*'Budgeting Assumptions'!$B$10</f>
        <v>64800</v>
      </c>
      <c r="D13" s="8">
        <f>C8*'Budgeting Assumptions'!$B$10</f>
        <v>50400</v>
      </c>
      <c r="E13" s="8">
        <f>D8*'Budgeting Assumptions'!$B$10</f>
        <v>72000</v>
      </c>
      <c r="F13" s="8">
        <f>E8*'Budgeting Assumptions'!$B$10</f>
        <v>79200</v>
      </c>
      <c r="G13" s="8">
        <f>F8*'Budgeting Assumptions'!$B$10</f>
        <v>100800</v>
      </c>
      <c r="H13" s="8">
        <f>G8*'Budgeting Assumptions'!$B$10</f>
        <v>180000</v>
      </c>
      <c r="I13" s="8">
        <f>H8*'Budgeting Assumptions'!$B$10</f>
        <v>216000</v>
      </c>
      <c r="J13" s="8">
        <f>I8*'Budgeting Assumptions'!$B$10</f>
        <v>230400</v>
      </c>
      <c r="K13" s="8">
        <f>J8*'Budgeting Assumptions'!$B$10</f>
        <v>151200</v>
      </c>
      <c r="L13" s="8">
        <f>K8*'Budgeting Assumptions'!$B$10</f>
        <v>115200</v>
      </c>
      <c r="M13" s="8">
        <f>L8*'Budgeting Assumptions'!$B$10</f>
        <v>108000</v>
      </c>
      <c r="N13" s="8">
        <f>SUM(B13:M13)</f>
        <v>1448000</v>
      </c>
    </row>
    <row r="14" spans="1:14" ht="17.25" customHeight="1" x14ac:dyDescent="0.4">
      <c r="A14" s="16" t="s">
        <v>102</v>
      </c>
      <c r="B14" s="9">
        <f>B8*'Budgeting Assumptions'!$B$9</f>
        <v>16200</v>
      </c>
      <c r="C14" s="9">
        <f>C8*'Budgeting Assumptions'!$B$9</f>
        <v>12600</v>
      </c>
      <c r="D14" s="9">
        <f>D8*'Budgeting Assumptions'!$B$9</f>
        <v>18000</v>
      </c>
      <c r="E14" s="9">
        <f>E8*'Budgeting Assumptions'!$B$9</f>
        <v>19800</v>
      </c>
      <c r="F14" s="9">
        <f>F8*'Budgeting Assumptions'!$B$9</f>
        <v>25200</v>
      </c>
      <c r="G14" s="9">
        <f>G8*'Budgeting Assumptions'!$B$9</f>
        <v>45000</v>
      </c>
      <c r="H14" s="9">
        <f>H8*'Budgeting Assumptions'!$B$9</f>
        <v>54000</v>
      </c>
      <c r="I14" s="9">
        <f>I8*'Budgeting Assumptions'!$B$9</f>
        <v>57600</v>
      </c>
      <c r="J14" s="9">
        <f>J8*'Budgeting Assumptions'!$B$9</f>
        <v>37800</v>
      </c>
      <c r="K14" s="9">
        <f>K8*'Budgeting Assumptions'!$B$9</f>
        <v>28800</v>
      </c>
      <c r="L14" s="9">
        <f>L8*'Budgeting Assumptions'!$B$9</f>
        <v>27000</v>
      </c>
      <c r="M14" s="9">
        <f>M8*'Budgeting Assumptions'!$B$9</f>
        <v>19800</v>
      </c>
      <c r="N14" s="9">
        <f>SUM(B14:M14)</f>
        <v>361800</v>
      </c>
    </row>
    <row r="15" spans="1:14" ht="16.8" x14ac:dyDescent="0.4">
      <c r="A15" s="1" t="s">
        <v>71</v>
      </c>
      <c r="B15" s="5">
        <f>SUM(B13:B14)</f>
        <v>96200</v>
      </c>
      <c r="C15" s="5">
        <f>SUM(C13:C14)</f>
        <v>77400</v>
      </c>
      <c r="D15" s="5">
        <f t="shared" ref="D15:N15" si="1">SUM(D13:D14)</f>
        <v>68400</v>
      </c>
      <c r="E15" s="5">
        <f t="shared" si="1"/>
        <v>91800</v>
      </c>
      <c r="F15" s="5">
        <f t="shared" si="1"/>
        <v>104400</v>
      </c>
      <c r="G15" s="5">
        <f t="shared" si="1"/>
        <v>145800</v>
      </c>
      <c r="H15" s="5">
        <f t="shared" si="1"/>
        <v>234000</v>
      </c>
      <c r="I15" s="5">
        <f t="shared" si="1"/>
        <v>273600</v>
      </c>
      <c r="J15" s="5">
        <f t="shared" si="1"/>
        <v>268200</v>
      </c>
      <c r="K15" s="5">
        <f t="shared" si="1"/>
        <v>180000</v>
      </c>
      <c r="L15" s="5">
        <f t="shared" si="1"/>
        <v>142200</v>
      </c>
      <c r="M15" s="5">
        <f t="shared" si="1"/>
        <v>127800</v>
      </c>
      <c r="N15" s="5">
        <f t="shared" si="1"/>
        <v>1809800</v>
      </c>
    </row>
    <row r="16" spans="1:14" ht="16.8" x14ac:dyDescent="0.4">
      <c r="A16" s="1"/>
      <c r="B16" s="9"/>
      <c r="C16" s="9"/>
      <c r="D16" s="9"/>
      <c r="E16" s="9"/>
      <c r="F16" s="10"/>
    </row>
    <row r="17" spans="1:14" ht="16.8" x14ac:dyDescent="0.4">
      <c r="A17" s="16"/>
      <c r="B17" s="5"/>
      <c r="C17" s="5"/>
      <c r="D17" s="5"/>
      <c r="E17" s="5"/>
      <c r="F17" s="17"/>
    </row>
    <row r="19" spans="1:14" ht="15.6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x14ac:dyDescent="0.25">
      <c r="A20" s="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</sheetData>
  <mergeCells count="4">
    <mergeCell ref="A1:N1"/>
    <mergeCell ref="A2:N2"/>
    <mergeCell ref="A3:N3"/>
    <mergeCell ref="A11:N11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8" tint="0.39997558519241921"/>
  </sheetPr>
  <dimension ref="A1:N31"/>
  <sheetViews>
    <sheetView workbookViewId="0">
      <selection activeCell="D23" sqref="D23"/>
    </sheetView>
  </sheetViews>
  <sheetFormatPr defaultRowHeight="13.2" x14ac:dyDescent="0.25"/>
  <cols>
    <col min="1" max="1" width="59.5546875" bestFit="1" customWidth="1"/>
    <col min="2" max="13" width="15" customWidth="1"/>
    <col min="14" max="14" width="14.33203125" bestFit="1" customWidth="1"/>
  </cols>
  <sheetData>
    <row r="1" spans="1:14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6" x14ac:dyDescent="0.3">
      <c r="A2" s="72" t="s">
        <v>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6" x14ac:dyDescent="0.3">
      <c r="A3" s="72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5.6" x14ac:dyDescent="0.3">
      <c r="A4" s="18"/>
      <c r="B4" s="18"/>
      <c r="C4" s="18"/>
      <c r="D4" s="18"/>
      <c r="E4" s="18"/>
      <c r="F4" s="33"/>
    </row>
    <row r="5" spans="1:14" ht="15.6" x14ac:dyDescent="0.3">
      <c r="A5" s="1"/>
      <c r="B5" s="2" t="s">
        <v>81</v>
      </c>
      <c r="C5" s="2" t="s">
        <v>82</v>
      </c>
      <c r="D5" s="2" t="s">
        <v>83</v>
      </c>
      <c r="E5" s="2" t="s">
        <v>84</v>
      </c>
      <c r="F5" s="2" t="s">
        <v>100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  <c r="N5" s="2" t="s">
        <v>54</v>
      </c>
    </row>
    <row r="6" spans="1:14" ht="17.25" customHeight="1" x14ac:dyDescent="0.25">
      <c r="A6" s="1" t="s">
        <v>107</v>
      </c>
      <c r="B6" s="6">
        <f>'Sales Budget'!B8*'Budgeting Assumptions'!$B$13</f>
        <v>44550</v>
      </c>
      <c r="C6" s="6">
        <f>'Sales Budget'!C8*'Budgeting Assumptions'!$B$13</f>
        <v>34650</v>
      </c>
      <c r="D6" s="6">
        <f>'Sales Budget'!D8*'Budgeting Assumptions'!$B$13</f>
        <v>49500.000000000007</v>
      </c>
      <c r="E6" s="6">
        <f>'Sales Budget'!E8*'Budgeting Assumptions'!$B$13</f>
        <v>54450.000000000007</v>
      </c>
      <c r="F6" s="6">
        <f>'Sales Budget'!F8*'Budgeting Assumptions'!$B$13</f>
        <v>69300</v>
      </c>
      <c r="G6" s="6">
        <f>'Sales Budget'!G8*'Budgeting Assumptions'!$B$13</f>
        <v>123750.00000000001</v>
      </c>
      <c r="H6" s="6">
        <f>'Sales Budget'!H8*'Budgeting Assumptions'!$B$13</f>
        <v>148500</v>
      </c>
      <c r="I6" s="6">
        <f>'Sales Budget'!I8*'Budgeting Assumptions'!$B$13</f>
        <v>158400</v>
      </c>
      <c r="J6" s="6">
        <f>'Sales Budget'!J8*'Budgeting Assumptions'!$B$13</f>
        <v>103950.00000000001</v>
      </c>
      <c r="K6" s="6">
        <f>'Sales Budget'!K8*'Budgeting Assumptions'!$B$13</f>
        <v>79200</v>
      </c>
      <c r="L6" s="6">
        <f>'Sales Budget'!L8*'Budgeting Assumptions'!$B$13</f>
        <v>74250</v>
      </c>
      <c r="M6" s="6">
        <f>'Sales Budget'!M8*'Budgeting Assumptions'!$B$13</f>
        <v>54450.000000000007</v>
      </c>
      <c r="N6" s="6">
        <f>SUM(B6:M6)</f>
        <v>994950</v>
      </c>
    </row>
    <row r="7" spans="1:14" ht="17.25" customHeight="1" x14ac:dyDescent="0.4">
      <c r="A7" s="1" t="s">
        <v>108</v>
      </c>
      <c r="B7" s="9">
        <f>C6*'Budgeting Assumptions'!$B$14</f>
        <v>8662.5</v>
      </c>
      <c r="C7" s="9">
        <f>D6*'Budgeting Assumptions'!$B$14</f>
        <v>12375.000000000002</v>
      </c>
      <c r="D7" s="9">
        <f>E6*'Budgeting Assumptions'!$B$14</f>
        <v>13612.500000000002</v>
      </c>
      <c r="E7" s="9">
        <f>F6*'Budgeting Assumptions'!$B$14</f>
        <v>17325</v>
      </c>
      <c r="F7" s="9">
        <f>G6*'Budgeting Assumptions'!$B$14</f>
        <v>30937.500000000004</v>
      </c>
      <c r="G7" s="9">
        <f>H6*'Budgeting Assumptions'!$B$14</f>
        <v>37125</v>
      </c>
      <c r="H7" s="9">
        <f>I6*'Budgeting Assumptions'!$B$14</f>
        <v>39600</v>
      </c>
      <c r="I7" s="9">
        <f>J6*'Budgeting Assumptions'!$B$14</f>
        <v>25987.500000000004</v>
      </c>
      <c r="J7" s="9">
        <f>K6*'Budgeting Assumptions'!$B$14</f>
        <v>19800</v>
      </c>
      <c r="K7" s="9">
        <f>L6*'Budgeting Assumptions'!$B$14</f>
        <v>18562.5</v>
      </c>
      <c r="L7" s="9">
        <f>M6*'Budgeting Assumptions'!$B$14</f>
        <v>13612.500000000002</v>
      </c>
      <c r="M7" s="9">
        <v>12100</v>
      </c>
      <c r="N7" s="32">
        <f>M7</f>
        <v>12100</v>
      </c>
    </row>
    <row r="8" spans="1:14" ht="17.25" customHeight="1" x14ac:dyDescent="0.25">
      <c r="A8" s="16" t="s">
        <v>29</v>
      </c>
      <c r="B8" s="3">
        <f>SUM(B6:B7)</f>
        <v>53212.5</v>
      </c>
      <c r="C8" s="3">
        <f>SUM(C6:C7)</f>
        <v>47025</v>
      </c>
      <c r="D8" s="3">
        <f>SUM(D6:D7)</f>
        <v>63112.500000000007</v>
      </c>
      <c r="E8" s="3">
        <f>SUM(E6:E7)</f>
        <v>71775</v>
      </c>
      <c r="F8" s="3">
        <f>SUM(F6:F7)</f>
        <v>100237.5</v>
      </c>
      <c r="G8" s="3">
        <f t="shared" ref="G8:N8" si="0">SUM(G6:G7)</f>
        <v>160875</v>
      </c>
      <c r="H8" s="3">
        <f t="shared" si="0"/>
        <v>188100</v>
      </c>
      <c r="I8" s="3">
        <f t="shared" si="0"/>
        <v>184387.5</v>
      </c>
      <c r="J8" s="3">
        <f t="shared" si="0"/>
        <v>123750.00000000001</v>
      </c>
      <c r="K8" s="3">
        <f t="shared" si="0"/>
        <v>97762.5</v>
      </c>
      <c r="L8" s="3">
        <f t="shared" si="0"/>
        <v>87862.5</v>
      </c>
      <c r="M8" s="3">
        <f t="shared" si="0"/>
        <v>66550</v>
      </c>
      <c r="N8" s="3">
        <f t="shared" si="0"/>
        <v>1007050</v>
      </c>
    </row>
    <row r="9" spans="1:14" ht="17.25" customHeight="1" x14ac:dyDescent="0.4">
      <c r="A9" s="1" t="s">
        <v>109</v>
      </c>
      <c r="B9" s="9">
        <f>'Beginning Balance Sheet'!B9</f>
        <v>13200</v>
      </c>
      <c r="C9" s="10">
        <f>B7</f>
        <v>8662.5</v>
      </c>
      <c r="D9" s="10">
        <f>C7</f>
        <v>12375.000000000002</v>
      </c>
      <c r="E9" s="10">
        <f>D7</f>
        <v>13612.500000000002</v>
      </c>
      <c r="F9" s="10">
        <f>E7</f>
        <v>17325</v>
      </c>
      <c r="G9" s="10">
        <f t="shared" ref="G9:M9" si="1">F7</f>
        <v>30937.500000000004</v>
      </c>
      <c r="H9" s="10">
        <f t="shared" si="1"/>
        <v>37125</v>
      </c>
      <c r="I9" s="10">
        <f t="shared" si="1"/>
        <v>39600</v>
      </c>
      <c r="J9" s="10">
        <f t="shared" si="1"/>
        <v>25987.500000000004</v>
      </c>
      <c r="K9" s="10">
        <f t="shared" si="1"/>
        <v>19800</v>
      </c>
      <c r="L9" s="10">
        <f t="shared" si="1"/>
        <v>18562.5</v>
      </c>
      <c r="M9" s="10">
        <f t="shared" si="1"/>
        <v>13612.500000000002</v>
      </c>
      <c r="N9" s="20">
        <f>B9</f>
        <v>13200</v>
      </c>
    </row>
    <row r="10" spans="1:14" ht="17.25" customHeight="1" x14ac:dyDescent="0.4">
      <c r="A10" s="1" t="s">
        <v>110</v>
      </c>
      <c r="B10" s="5">
        <f>B8-B9</f>
        <v>40012.5</v>
      </c>
      <c r="C10" s="5">
        <f>C8-C9</f>
        <v>38362.5</v>
      </c>
      <c r="D10" s="5">
        <f>D8-D9</f>
        <v>50737.500000000007</v>
      </c>
      <c r="E10" s="5">
        <f>E8-E9</f>
        <v>58162.5</v>
      </c>
      <c r="F10" s="5">
        <f>F8-F9</f>
        <v>82912.5</v>
      </c>
      <c r="G10" s="5">
        <f t="shared" ref="G10:N10" si="2">G8-G9</f>
        <v>129937.5</v>
      </c>
      <c r="H10" s="5">
        <f t="shared" si="2"/>
        <v>150975</v>
      </c>
      <c r="I10" s="5">
        <f t="shared" si="2"/>
        <v>144787.5</v>
      </c>
      <c r="J10" s="5">
        <f t="shared" si="2"/>
        <v>97762.500000000015</v>
      </c>
      <c r="K10" s="5">
        <f t="shared" si="2"/>
        <v>77962.5</v>
      </c>
      <c r="L10" s="5">
        <f t="shared" si="2"/>
        <v>69300</v>
      </c>
      <c r="M10" s="5">
        <f t="shared" si="2"/>
        <v>52937.5</v>
      </c>
      <c r="N10" s="5">
        <f t="shared" si="2"/>
        <v>993850</v>
      </c>
    </row>
    <row r="11" spans="1:14" ht="17.25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"/>
    </row>
    <row r="12" spans="1:14" ht="17.25" customHeight="1" x14ac:dyDescent="0.25">
      <c r="N12" s="1"/>
    </row>
    <row r="13" spans="1:14" ht="17.25" customHeight="1" x14ac:dyDescent="0.3">
      <c r="A13" s="72" t="s">
        <v>114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4" ht="17.25" customHeight="1" x14ac:dyDescent="0.3">
      <c r="A14" s="16"/>
      <c r="B14" s="2" t="s">
        <v>81</v>
      </c>
      <c r="C14" s="2" t="s">
        <v>82</v>
      </c>
      <c r="D14" s="2" t="s">
        <v>83</v>
      </c>
      <c r="E14" s="2" t="s">
        <v>84</v>
      </c>
      <c r="F14" s="2" t="s">
        <v>100</v>
      </c>
      <c r="G14" s="2" t="s">
        <v>86</v>
      </c>
      <c r="H14" s="2" t="s">
        <v>87</v>
      </c>
      <c r="I14" s="2" t="s">
        <v>88</v>
      </c>
      <c r="J14" s="2" t="s">
        <v>89</v>
      </c>
      <c r="K14" s="2" t="s">
        <v>90</v>
      </c>
      <c r="L14" s="2" t="s">
        <v>91</v>
      </c>
      <c r="M14" s="2" t="s">
        <v>92</v>
      </c>
      <c r="N14" s="2" t="s">
        <v>54</v>
      </c>
    </row>
    <row r="15" spans="1:14" ht="17.25" customHeight="1" x14ac:dyDescent="0.25">
      <c r="A15" s="1" t="s">
        <v>111</v>
      </c>
      <c r="B15" s="6">
        <f>'Beginning Balance Sheet'!C19</f>
        <v>40000</v>
      </c>
      <c r="C15" s="12">
        <f>B10*'Budgeting Assumptions'!$B$16</f>
        <v>34010.625</v>
      </c>
      <c r="D15" s="12">
        <f>C10*'Budgeting Assumptions'!$B$16</f>
        <v>32608.125</v>
      </c>
      <c r="E15" s="12">
        <f>D10*'Budgeting Assumptions'!$B$16</f>
        <v>43126.875000000007</v>
      </c>
      <c r="F15" s="12">
        <f>E10*'Budgeting Assumptions'!$B$16</f>
        <v>49438.125</v>
      </c>
      <c r="G15" s="12">
        <f>F10*'Budgeting Assumptions'!$B$16</f>
        <v>70475.625</v>
      </c>
      <c r="H15" s="12">
        <f>G10*'Budgeting Assumptions'!$B$16</f>
        <v>110446.875</v>
      </c>
      <c r="I15" s="12">
        <f>H10*'Budgeting Assumptions'!$B$16</f>
        <v>128328.75</v>
      </c>
      <c r="J15" s="12">
        <f>I10*'Budgeting Assumptions'!$B$16</f>
        <v>123069.375</v>
      </c>
      <c r="K15" s="12">
        <f>J10*'Budgeting Assumptions'!$B$16</f>
        <v>83098.125000000015</v>
      </c>
      <c r="L15" s="12">
        <f>K10*'Budgeting Assumptions'!$B$16</f>
        <v>66268.125</v>
      </c>
      <c r="M15" s="12">
        <f>L10*'Budgeting Assumptions'!$B$16</f>
        <v>58905</v>
      </c>
      <c r="N15" s="19">
        <f>SUM(B15:M15)</f>
        <v>839775.625</v>
      </c>
    </row>
    <row r="16" spans="1:14" ht="17.25" customHeight="1" x14ac:dyDescent="0.4">
      <c r="A16" s="1" t="s">
        <v>112</v>
      </c>
      <c r="B16" s="9">
        <f>B$10*'Budgeting Assumptions'!$B$15</f>
        <v>6001.875</v>
      </c>
      <c r="C16" s="9">
        <f>C$10*'Budgeting Assumptions'!$B$15</f>
        <v>5754.375</v>
      </c>
      <c r="D16" s="9">
        <f>D$10*'Budgeting Assumptions'!$B$15</f>
        <v>7610.6250000000009</v>
      </c>
      <c r="E16" s="9">
        <f>E$10*'Budgeting Assumptions'!$B$15</f>
        <v>8724.375</v>
      </c>
      <c r="F16" s="9">
        <f>F$10*'Budgeting Assumptions'!$B$15</f>
        <v>12436.875</v>
      </c>
      <c r="G16" s="9">
        <f>G$10*'Budgeting Assumptions'!$B$15</f>
        <v>19490.625</v>
      </c>
      <c r="H16" s="9">
        <f>H$10*'Budgeting Assumptions'!$B$15</f>
        <v>22646.25</v>
      </c>
      <c r="I16" s="9">
        <f>I$10*'Budgeting Assumptions'!$B$15</f>
        <v>21718.125</v>
      </c>
      <c r="J16" s="9">
        <f>J$10*'Budgeting Assumptions'!$B$15</f>
        <v>14664.375000000002</v>
      </c>
      <c r="K16" s="9">
        <f>K$10*'Budgeting Assumptions'!$B$15</f>
        <v>11694.375</v>
      </c>
      <c r="L16" s="9">
        <f>L$10*'Budgeting Assumptions'!$B$15</f>
        <v>10395</v>
      </c>
      <c r="M16" s="9">
        <f>M$10*'Budgeting Assumptions'!$B$15</f>
        <v>7940.625</v>
      </c>
      <c r="N16" s="32">
        <f>SUM(B16:M16)</f>
        <v>149077.5</v>
      </c>
    </row>
    <row r="17" spans="1:14" ht="17.25" customHeight="1" x14ac:dyDescent="0.4">
      <c r="A17" s="1" t="s">
        <v>113</v>
      </c>
      <c r="B17" s="5">
        <f>SUM(B15:B16)</f>
        <v>46001.875</v>
      </c>
      <c r="C17" s="5">
        <f>SUM(C15:C16)</f>
        <v>39765</v>
      </c>
      <c r="D17" s="5">
        <f t="shared" ref="D17:N17" si="3">SUM(D15:D16)</f>
        <v>40218.75</v>
      </c>
      <c r="E17" s="5">
        <f t="shared" si="3"/>
        <v>51851.250000000007</v>
      </c>
      <c r="F17" s="5">
        <f t="shared" si="3"/>
        <v>61875</v>
      </c>
      <c r="G17" s="5">
        <f t="shared" si="3"/>
        <v>89966.25</v>
      </c>
      <c r="H17" s="5">
        <f t="shared" si="3"/>
        <v>133093.125</v>
      </c>
      <c r="I17" s="5">
        <f t="shared" si="3"/>
        <v>150046.875</v>
      </c>
      <c r="J17" s="5">
        <f t="shared" si="3"/>
        <v>137733.75</v>
      </c>
      <c r="K17" s="5">
        <f t="shared" si="3"/>
        <v>94792.500000000015</v>
      </c>
      <c r="L17" s="5">
        <f t="shared" si="3"/>
        <v>76663.125</v>
      </c>
      <c r="M17" s="5">
        <f t="shared" si="3"/>
        <v>66845.625</v>
      </c>
      <c r="N17" s="5">
        <f t="shared" si="3"/>
        <v>988853.125</v>
      </c>
    </row>
    <row r="18" spans="1:14" ht="17.25" customHeight="1" x14ac:dyDescent="0.25"/>
    <row r="19" spans="1:14" ht="17.25" customHeight="1" x14ac:dyDescent="0.25"/>
    <row r="20" spans="1:14" ht="17.25" customHeight="1" x14ac:dyDescent="0.25">
      <c r="A20" s="1" t="s">
        <v>129</v>
      </c>
    </row>
    <row r="21" spans="1:14" ht="17.25" customHeight="1" x14ac:dyDescent="0.25"/>
    <row r="22" spans="1:14" ht="17.25" customHeight="1" x14ac:dyDescent="0.25"/>
    <row r="23" spans="1:14" ht="17.25" customHeight="1" x14ac:dyDescent="0.25"/>
    <row r="24" spans="1:14" ht="17.25" customHeight="1" x14ac:dyDescent="0.25"/>
    <row r="25" spans="1:14" ht="17.25" customHeight="1" x14ac:dyDescent="0.25"/>
    <row r="26" spans="1:14" ht="17.25" customHeight="1" x14ac:dyDescent="0.25"/>
    <row r="27" spans="1:14" ht="17.25" customHeight="1" x14ac:dyDescent="0.25"/>
    <row r="28" spans="1:14" ht="17.25" customHeight="1" x14ac:dyDescent="0.25"/>
    <row r="29" spans="1:14" ht="17.25" customHeight="1" x14ac:dyDescent="0.25"/>
    <row r="30" spans="1:14" ht="17.25" customHeight="1" x14ac:dyDescent="0.25"/>
    <row r="31" spans="1:14" ht="17.25" customHeight="1" x14ac:dyDescent="0.25"/>
  </sheetData>
  <mergeCells count="4">
    <mergeCell ref="A1:N1"/>
    <mergeCell ref="A2:N2"/>
    <mergeCell ref="A3:N3"/>
    <mergeCell ref="A13:N13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8" tint="0.39997558519241921"/>
  </sheetPr>
  <dimension ref="A1:N18"/>
  <sheetViews>
    <sheetView workbookViewId="0">
      <selection activeCell="K36" sqref="K36"/>
    </sheetView>
  </sheetViews>
  <sheetFormatPr defaultRowHeight="13.2" x14ac:dyDescent="0.25"/>
  <cols>
    <col min="1" max="1" width="60.5546875" customWidth="1"/>
    <col min="2" max="13" width="15" customWidth="1"/>
    <col min="14" max="14" width="12.33203125" bestFit="1" customWidth="1"/>
  </cols>
  <sheetData>
    <row r="1" spans="1:14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6" x14ac:dyDescent="0.3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6" x14ac:dyDescent="0.3">
      <c r="A3" s="72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5" x14ac:dyDescent="0.25">
      <c r="A4" s="11"/>
      <c r="B4" s="6"/>
      <c r="C4" s="11"/>
      <c r="D4" s="11"/>
      <c r="E4" s="11"/>
      <c r="F4" s="11"/>
    </row>
    <row r="5" spans="1:14" ht="15.6" x14ac:dyDescent="0.3">
      <c r="A5" s="1"/>
      <c r="B5" s="2" t="s">
        <v>81</v>
      </c>
      <c r="C5" s="2" t="s">
        <v>82</v>
      </c>
      <c r="D5" s="2" t="s">
        <v>83</v>
      </c>
      <c r="E5" s="2" t="s">
        <v>84</v>
      </c>
      <c r="F5" s="2" t="s">
        <v>100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  <c r="N5" s="2" t="s">
        <v>54</v>
      </c>
    </row>
    <row r="6" spans="1:14" ht="15" x14ac:dyDescent="0.25">
      <c r="A6" s="1" t="s">
        <v>115</v>
      </c>
      <c r="B6" s="3">
        <f>'Sales Budget'!B6</f>
        <v>900</v>
      </c>
      <c r="C6" s="3">
        <f>'Sales Budget'!C6</f>
        <v>700</v>
      </c>
      <c r="D6" s="3">
        <f>'Sales Budget'!D6</f>
        <v>1000</v>
      </c>
      <c r="E6" s="3">
        <f>'Sales Budget'!E6</f>
        <v>1100</v>
      </c>
      <c r="F6" s="3">
        <f>'Sales Budget'!F6</f>
        <v>1400</v>
      </c>
      <c r="G6" s="3">
        <f>'Sales Budget'!G6</f>
        <v>2500</v>
      </c>
      <c r="H6" s="3">
        <f>'Sales Budget'!H6</f>
        <v>3000</v>
      </c>
      <c r="I6" s="3">
        <f>'Sales Budget'!I6</f>
        <v>3200</v>
      </c>
      <c r="J6" s="3">
        <f>'Sales Budget'!J6</f>
        <v>2100</v>
      </c>
      <c r="K6" s="3">
        <f>'Sales Budget'!K6</f>
        <v>1600</v>
      </c>
      <c r="L6" s="3">
        <f>'Sales Budget'!L6</f>
        <v>1500</v>
      </c>
      <c r="M6" s="3">
        <f>'Sales Budget'!M6</f>
        <v>1100</v>
      </c>
      <c r="N6" s="34">
        <f>SUM(B6:M6)</f>
        <v>20100</v>
      </c>
    </row>
    <row r="7" spans="1:14" ht="16.8" x14ac:dyDescent="0.4">
      <c r="A7" s="1" t="s">
        <v>73</v>
      </c>
      <c r="B7" s="4">
        <f>+'Budgeting Assumptions'!$B$19</f>
        <v>8</v>
      </c>
      <c r="C7" s="4">
        <f>+'Budgeting Assumptions'!$B$19</f>
        <v>8</v>
      </c>
      <c r="D7" s="4">
        <f>+'Budgeting Assumptions'!$B$19</f>
        <v>8</v>
      </c>
      <c r="E7" s="4">
        <f>+'Budgeting Assumptions'!$B$19</f>
        <v>8</v>
      </c>
      <c r="F7" s="4">
        <f>+'Budgeting Assumptions'!$B$19</f>
        <v>8</v>
      </c>
      <c r="G7" s="4">
        <f>+'Budgeting Assumptions'!$B$19</f>
        <v>8</v>
      </c>
      <c r="H7" s="4">
        <f>+'Budgeting Assumptions'!$B$19</f>
        <v>8</v>
      </c>
      <c r="I7" s="4">
        <f>+'Budgeting Assumptions'!$B$19</f>
        <v>8</v>
      </c>
      <c r="J7" s="4">
        <f>+'Budgeting Assumptions'!$B$19</f>
        <v>8</v>
      </c>
      <c r="K7" s="4">
        <f>+'Budgeting Assumptions'!$B$19</f>
        <v>8</v>
      </c>
      <c r="L7" s="4">
        <f>+'Budgeting Assumptions'!$B$19</f>
        <v>8</v>
      </c>
      <c r="M7" s="4">
        <f>+'Budgeting Assumptions'!$B$19</f>
        <v>8</v>
      </c>
      <c r="N7" s="35">
        <f>M7</f>
        <v>8</v>
      </c>
    </row>
    <row r="8" spans="1:14" ht="16.8" x14ac:dyDescent="0.4">
      <c r="A8" s="1" t="s">
        <v>41</v>
      </c>
      <c r="B8" s="13">
        <f>B7*B6</f>
        <v>7200</v>
      </c>
      <c r="C8" s="13">
        <f>C7*C6</f>
        <v>5600</v>
      </c>
      <c r="D8" s="13">
        <f>D7*D6</f>
        <v>8000</v>
      </c>
      <c r="E8" s="13">
        <f>E7*E6</f>
        <v>8800</v>
      </c>
      <c r="F8" s="13">
        <f>F7*F6</f>
        <v>11200</v>
      </c>
      <c r="G8" s="13">
        <f t="shared" ref="G8:N8" si="0">G7*G6</f>
        <v>20000</v>
      </c>
      <c r="H8" s="13">
        <f t="shared" si="0"/>
        <v>24000</v>
      </c>
      <c r="I8" s="13">
        <f t="shared" si="0"/>
        <v>25600</v>
      </c>
      <c r="J8" s="13">
        <f t="shared" si="0"/>
        <v>16800</v>
      </c>
      <c r="K8" s="13">
        <f t="shared" si="0"/>
        <v>12800</v>
      </c>
      <c r="L8" s="13">
        <f t="shared" si="0"/>
        <v>12000</v>
      </c>
      <c r="M8" s="13">
        <f t="shared" si="0"/>
        <v>8800</v>
      </c>
      <c r="N8" s="13">
        <f t="shared" si="0"/>
        <v>160800</v>
      </c>
    </row>
    <row r="9" spans="1:14" ht="15" x14ac:dyDescent="0.25">
      <c r="A9" s="1" t="s">
        <v>42</v>
      </c>
      <c r="B9" s="6"/>
      <c r="C9" s="1"/>
      <c r="D9" s="1"/>
      <c r="E9" s="1"/>
      <c r="F9" s="1"/>
      <c r="N9" s="1"/>
    </row>
    <row r="10" spans="1:14" ht="15" x14ac:dyDescent="0.25">
      <c r="A10" s="15" t="s">
        <v>31</v>
      </c>
      <c r="B10" s="3">
        <f>+'Budgeting Assumptions'!$B$21</f>
        <v>15000</v>
      </c>
      <c r="C10" s="3">
        <f>+'Budgeting Assumptions'!$B$21</f>
        <v>15000</v>
      </c>
      <c r="D10" s="3">
        <f>+'Budgeting Assumptions'!$B$21</f>
        <v>15000</v>
      </c>
      <c r="E10" s="3">
        <f>+'Budgeting Assumptions'!$B$21</f>
        <v>15000</v>
      </c>
      <c r="F10" s="3">
        <f>+'Budgeting Assumptions'!$B$21</f>
        <v>15000</v>
      </c>
      <c r="G10" s="3">
        <f>+'Budgeting Assumptions'!$B$21</f>
        <v>15000</v>
      </c>
      <c r="H10" s="3">
        <f>+'Budgeting Assumptions'!$B$21</f>
        <v>15000</v>
      </c>
      <c r="I10" s="3">
        <f>+'Budgeting Assumptions'!$B$21</f>
        <v>15000</v>
      </c>
      <c r="J10" s="3">
        <f>+'Budgeting Assumptions'!$B$21</f>
        <v>15000</v>
      </c>
      <c r="K10" s="3">
        <f>+'Budgeting Assumptions'!$B$21</f>
        <v>15000</v>
      </c>
      <c r="L10" s="3">
        <f>+'Budgeting Assumptions'!$B$21</f>
        <v>15000</v>
      </c>
      <c r="M10" s="3">
        <f>+'Budgeting Assumptions'!$B$21</f>
        <v>15000</v>
      </c>
      <c r="N10" s="34">
        <f t="shared" ref="N10:N14" si="1">SUM(B10:M10)</f>
        <v>180000</v>
      </c>
    </row>
    <row r="11" spans="1:14" ht="15" x14ac:dyDescent="0.25">
      <c r="A11" s="15" t="s">
        <v>32</v>
      </c>
      <c r="B11" s="3">
        <f>+'Budgeting Assumptions'!$B$22</f>
        <v>20000</v>
      </c>
      <c r="C11" s="3">
        <f>+'Budgeting Assumptions'!$B$22</f>
        <v>20000</v>
      </c>
      <c r="D11" s="3">
        <f>+'Budgeting Assumptions'!$B$22</f>
        <v>20000</v>
      </c>
      <c r="E11" s="3">
        <f>+'Budgeting Assumptions'!$B$22</f>
        <v>20000</v>
      </c>
      <c r="F11" s="3">
        <f>+'Budgeting Assumptions'!$B$22</f>
        <v>20000</v>
      </c>
      <c r="G11" s="3">
        <f>+'Budgeting Assumptions'!$B$22</f>
        <v>20000</v>
      </c>
      <c r="H11" s="3">
        <f>+'Budgeting Assumptions'!$B$22</f>
        <v>20000</v>
      </c>
      <c r="I11" s="3">
        <f>+'Budgeting Assumptions'!$B$22</f>
        <v>20000</v>
      </c>
      <c r="J11" s="3">
        <f>+'Budgeting Assumptions'!$B$22</f>
        <v>20000</v>
      </c>
      <c r="K11" s="3">
        <f>+'Budgeting Assumptions'!$B$22</f>
        <v>20000</v>
      </c>
      <c r="L11" s="3">
        <f>+'Budgeting Assumptions'!$B$22</f>
        <v>20000</v>
      </c>
      <c r="M11" s="3">
        <f>+'Budgeting Assumptions'!$B$22</f>
        <v>20000</v>
      </c>
      <c r="N11" s="34">
        <f t="shared" si="1"/>
        <v>240000</v>
      </c>
    </row>
    <row r="12" spans="1:14" ht="15" x14ac:dyDescent="0.25">
      <c r="A12" s="15" t="s">
        <v>20</v>
      </c>
      <c r="B12" s="3">
        <f>+'Budgeting Assumptions'!$B$23</f>
        <v>6000</v>
      </c>
      <c r="C12" s="3">
        <f>+'Budgeting Assumptions'!$B$23</f>
        <v>6000</v>
      </c>
      <c r="D12" s="3">
        <f>+'Budgeting Assumptions'!$B$23</f>
        <v>6000</v>
      </c>
      <c r="E12" s="3">
        <f>+'Budgeting Assumptions'!$B$23</f>
        <v>6000</v>
      </c>
      <c r="F12" s="3">
        <f>+'Budgeting Assumptions'!$B$23</f>
        <v>6000</v>
      </c>
      <c r="G12" s="3">
        <f>+'Budgeting Assumptions'!$B$23</f>
        <v>6000</v>
      </c>
      <c r="H12" s="3">
        <f>+'Budgeting Assumptions'!$B$23</f>
        <v>6000</v>
      </c>
      <c r="I12" s="3">
        <f>+'Budgeting Assumptions'!$B$23</f>
        <v>6000</v>
      </c>
      <c r="J12" s="3">
        <f>+'Budgeting Assumptions'!$B$23</f>
        <v>6000</v>
      </c>
      <c r="K12" s="3">
        <f>+'Budgeting Assumptions'!$B$23</f>
        <v>6000</v>
      </c>
      <c r="L12" s="3">
        <f>+'Budgeting Assumptions'!$B$23</f>
        <v>6000</v>
      </c>
      <c r="M12" s="3">
        <f>+'Budgeting Assumptions'!$B$23</f>
        <v>6000</v>
      </c>
      <c r="N12" s="34">
        <f t="shared" si="1"/>
        <v>72000</v>
      </c>
    </row>
    <row r="13" spans="1:14" ht="15" x14ac:dyDescent="0.25">
      <c r="A13" s="15" t="s">
        <v>14</v>
      </c>
      <c r="B13" s="3">
        <f>+'Budgeting Assumptions'!$B$24</f>
        <v>5000</v>
      </c>
      <c r="C13" s="3">
        <f>+'Budgeting Assumptions'!$B$24</f>
        <v>5000</v>
      </c>
      <c r="D13" s="3">
        <f>+'Budgeting Assumptions'!$B$24</f>
        <v>5000</v>
      </c>
      <c r="E13" s="3">
        <f>+'Budgeting Assumptions'!$B$24</f>
        <v>5000</v>
      </c>
      <c r="F13" s="3">
        <f>+'Budgeting Assumptions'!$B$24</f>
        <v>5000</v>
      </c>
      <c r="G13" s="3">
        <f>+'Budgeting Assumptions'!$B$24</f>
        <v>5000</v>
      </c>
      <c r="H13" s="3">
        <f>+'Budgeting Assumptions'!$B$24</f>
        <v>5000</v>
      </c>
      <c r="I13" s="3">
        <f>+'Budgeting Assumptions'!$B$24</f>
        <v>5000</v>
      </c>
      <c r="J13" s="3">
        <f>+'Budgeting Assumptions'!$B$24</f>
        <v>5000</v>
      </c>
      <c r="K13" s="3">
        <f>+'Budgeting Assumptions'!$B$24</f>
        <v>5000</v>
      </c>
      <c r="L13" s="3">
        <f>+'Budgeting Assumptions'!$B$24</f>
        <v>5000</v>
      </c>
      <c r="M13" s="3">
        <f>+'Budgeting Assumptions'!$B$24</f>
        <v>5000</v>
      </c>
      <c r="N13" s="34">
        <f t="shared" si="1"/>
        <v>60000</v>
      </c>
    </row>
    <row r="14" spans="1:14" ht="16.8" x14ac:dyDescent="0.4">
      <c r="A14" s="15" t="s">
        <v>33</v>
      </c>
      <c r="B14" s="9">
        <f>+'Budgeting Assumptions'!$B$25</f>
        <v>8000</v>
      </c>
      <c r="C14" s="9">
        <f>+'Budgeting Assumptions'!$B$25</f>
        <v>8000</v>
      </c>
      <c r="D14" s="9">
        <f>+'Budgeting Assumptions'!$B$25</f>
        <v>8000</v>
      </c>
      <c r="E14" s="9">
        <f>+'Budgeting Assumptions'!$B$25</f>
        <v>8000</v>
      </c>
      <c r="F14" s="9">
        <f>+'Budgeting Assumptions'!$B$25</f>
        <v>8000</v>
      </c>
      <c r="G14" s="9">
        <f>+'Budgeting Assumptions'!$B$25</f>
        <v>8000</v>
      </c>
      <c r="H14" s="9">
        <f>+'Budgeting Assumptions'!$B$25</f>
        <v>8000</v>
      </c>
      <c r="I14" s="9">
        <f>+'Budgeting Assumptions'!$B$25</f>
        <v>8000</v>
      </c>
      <c r="J14" s="9">
        <f>+'Budgeting Assumptions'!$B$25</f>
        <v>8000</v>
      </c>
      <c r="K14" s="9">
        <f>+'Budgeting Assumptions'!$B$25</f>
        <v>8000</v>
      </c>
      <c r="L14" s="9">
        <f>+'Budgeting Assumptions'!$B$25</f>
        <v>8000</v>
      </c>
      <c r="M14" s="9">
        <f>+'Budgeting Assumptions'!$B$25</f>
        <v>8000</v>
      </c>
      <c r="N14" s="20">
        <f t="shared" si="1"/>
        <v>96000</v>
      </c>
    </row>
    <row r="15" spans="1:14" ht="16.8" x14ac:dyDescent="0.4">
      <c r="A15" s="16" t="s">
        <v>43</v>
      </c>
      <c r="B15" s="9">
        <f>SUM(B10:B14)</f>
        <v>54000</v>
      </c>
      <c r="C15" s="9">
        <f>SUM(C10:C14)</f>
        <v>54000</v>
      </c>
      <c r="D15" s="9">
        <f>SUM(D10:D14)</f>
        <v>54000</v>
      </c>
      <c r="E15" s="9">
        <f>SUM(E10:E14)</f>
        <v>54000</v>
      </c>
      <c r="F15" s="9">
        <f t="shared" ref="F15:N15" si="2">SUM(F10:F14)</f>
        <v>54000</v>
      </c>
      <c r="G15" s="9">
        <f t="shared" si="2"/>
        <v>54000</v>
      </c>
      <c r="H15" s="9">
        <f t="shared" si="2"/>
        <v>54000</v>
      </c>
      <c r="I15" s="9">
        <f t="shared" si="2"/>
        <v>54000</v>
      </c>
      <c r="J15" s="9">
        <f t="shared" si="2"/>
        <v>54000</v>
      </c>
      <c r="K15" s="9">
        <f t="shared" si="2"/>
        <v>54000</v>
      </c>
      <c r="L15" s="9">
        <f t="shared" si="2"/>
        <v>54000</v>
      </c>
      <c r="M15" s="9">
        <f t="shared" si="2"/>
        <v>54000</v>
      </c>
      <c r="N15" s="9">
        <f t="shared" si="2"/>
        <v>648000</v>
      </c>
    </row>
    <row r="16" spans="1:14" ht="15" x14ac:dyDescent="0.25">
      <c r="A16" s="1" t="s">
        <v>44</v>
      </c>
      <c r="B16" s="3">
        <f>B8+B15</f>
        <v>61200</v>
      </c>
      <c r="C16" s="3">
        <f>C8+C15</f>
        <v>59600</v>
      </c>
      <c r="D16" s="3">
        <f>D8+D15</f>
        <v>62000</v>
      </c>
      <c r="E16" s="3">
        <f>E8+E15</f>
        <v>62800</v>
      </c>
      <c r="F16" s="3">
        <f t="shared" ref="F16:N16" si="3">F8+F15</f>
        <v>65200</v>
      </c>
      <c r="G16" s="3">
        <f t="shared" si="3"/>
        <v>74000</v>
      </c>
      <c r="H16" s="3">
        <f t="shared" si="3"/>
        <v>78000</v>
      </c>
      <c r="I16" s="3">
        <f t="shared" si="3"/>
        <v>79600</v>
      </c>
      <c r="J16" s="3">
        <f t="shared" si="3"/>
        <v>70800</v>
      </c>
      <c r="K16" s="3">
        <f t="shared" si="3"/>
        <v>66800</v>
      </c>
      <c r="L16" s="3">
        <f t="shared" si="3"/>
        <v>66000</v>
      </c>
      <c r="M16" s="3">
        <f t="shared" si="3"/>
        <v>62800</v>
      </c>
      <c r="N16" s="3">
        <f t="shared" si="3"/>
        <v>808800</v>
      </c>
    </row>
    <row r="17" spans="1:14" ht="16.8" x14ac:dyDescent="0.4">
      <c r="A17" s="1" t="s">
        <v>2</v>
      </c>
      <c r="B17" s="9">
        <f>B14</f>
        <v>8000</v>
      </c>
      <c r="C17" s="9">
        <f>C14</f>
        <v>8000</v>
      </c>
      <c r="D17" s="9">
        <f>D14</f>
        <v>8000</v>
      </c>
      <c r="E17" s="9">
        <f>E14</f>
        <v>8000</v>
      </c>
      <c r="F17" s="9">
        <f t="shared" ref="F17:M17" si="4">F14</f>
        <v>8000</v>
      </c>
      <c r="G17" s="9">
        <f t="shared" si="4"/>
        <v>8000</v>
      </c>
      <c r="H17" s="9">
        <f t="shared" si="4"/>
        <v>8000</v>
      </c>
      <c r="I17" s="9">
        <f t="shared" si="4"/>
        <v>8000</v>
      </c>
      <c r="J17" s="9">
        <f t="shared" si="4"/>
        <v>8000</v>
      </c>
      <c r="K17" s="9">
        <f t="shared" si="4"/>
        <v>8000</v>
      </c>
      <c r="L17" s="9">
        <f t="shared" si="4"/>
        <v>8000</v>
      </c>
      <c r="M17" s="9">
        <f t="shared" si="4"/>
        <v>8000</v>
      </c>
      <c r="N17" s="9">
        <f t="shared" ref="N17" si="5">N14</f>
        <v>96000</v>
      </c>
    </row>
    <row r="18" spans="1:14" ht="16.8" x14ac:dyDescent="0.4">
      <c r="A18" s="1" t="s">
        <v>3</v>
      </c>
      <c r="B18" s="5">
        <f>B16-B17</f>
        <v>53200</v>
      </c>
      <c r="C18" s="5">
        <f>C16-C17</f>
        <v>51600</v>
      </c>
      <c r="D18" s="5">
        <f>D16-D17</f>
        <v>54000</v>
      </c>
      <c r="E18" s="5">
        <f>E16-E17</f>
        <v>54800</v>
      </c>
      <c r="F18" s="5">
        <f t="shared" ref="F18:N18" si="6">F16-F17</f>
        <v>57200</v>
      </c>
      <c r="G18" s="5">
        <f t="shared" si="6"/>
        <v>66000</v>
      </c>
      <c r="H18" s="5">
        <f t="shared" si="6"/>
        <v>70000</v>
      </c>
      <c r="I18" s="5">
        <f t="shared" si="6"/>
        <v>71600</v>
      </c>
      <c r="J18" s="5">
        <f t="shared" si="6"/>
        <v>62800</v>
      </c>
      <c r="K18" s="5">
        <f t="shared" si="6"/>
        <v>58800</v>
      </c>
      <c r="L18" s="5">
        <f t="shared" si="6"/>
        <v>58000</v>
      </c>
      <c r="M18" s="5">
        <f t="shared" si="6"/>
        <v>54800</v>
      </c>
      <c r="N18" s="5">
        <f t="shared" si="6"/>
        <v>712800</v>
      </c>
    </row>
  </sheetData>
  <mergeCells count="3">
    <mergeCell ref="A1:N1"/>
    <mergeCell ref="A2:N2"/>
    <mergeCell ref="A3:N3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8" tint="0.39997558519241921"/>
  </sheetPr>
  <dimension ref="A1:N22"/>
  <sheetViews>
    <sheetView topLeftCell="A3" zoomScale="80" zoomScaleNormal="80" workbookViewId="0">
      <selection activeCell="C12" sqref="C12"/>
    </sheetView>
  </sheetViews>
  <sheetFormatPr defaultRowHeight="13.2" x14ac:dyDescent="0.25"/>
  <cols>
    <col min="1" max="1" width="59.44140625" bestFit="1" customWidth="1"/>
    <col min="2" max="13" width="15" customWidth="1"/>
    <col min="14" max="14" width="12.88671875" bestFit="1" customWidth="1"/>
  </cols>
  <sheetData>
    <row r="1" spans="1:14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6" x14ac:dyDescent="0.3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6" x14ac:dyDescent="0.3">
      <c r="A3" s="72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5" x14ac:dyDescent="0.25">
      <c r="A4" s="11"/>
      <c r="B4" s="6"/>
      <c r="C4" s="11"/>
      <c r="D4" s="11"/>
      <c r="E4" s="11"/>
      <c r="F4" s="11"/>
    </row>
    <row r="5" spans="1:14" ht="15.6" x14ac:dyDescent="0.3">
      <c r="A5" s="1"/>
      <c r="B5" s="2" t="s">
        <v>81</v>
      </c>
      <c r="C5" s="2" t="s">
        <v>82</v>
      </c>
      <c r="D5" s="2" t="s">
        <v>83</v>
      </c>
      <c r="E5" s="2" t="s">
        <v>84</v>
      </c>
      <c r="F5" s="2" t="s">
        <v>100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  <c r="N5" s="2" t="s">
        <v>54</v>
      </c>
    </row>
    <row r="6" spans="1:14" ht="15" x14ac:dyDescent="0.25">
      <c r="A6" s="1" t="s">
        <v>65</v>
      </c>
      <c r="B6" s="12">
        <f>'Beginning Balance Sheet'!B7</f>
        <v>68000</v>
      </c>
      <c r="C6" s="12">
        <f t="shared" ref="C6:H6" si="0">B20</f>
        <v>64998.125</v>
      </c>
      <c r="D6" s="12">
        <f t="shared" si="0"/>
        <v>51033.125</v>
      </c>
      <c r="E6" s="12">
        <f t="shared" si="0"/>
        <v>30000</v>
      </c>
      <c r="F6" s="12">
        <f t="shared" si="0"/>
        <v>30000</v>
      </c>
      <c r="G6" s="12">
        <f t="shared" si="0"/>
        <v>30000</v>
      </c>
      <c r="H6" s="12">
        <f t="shared" si="0"/>
        <v>30000</v>
      </c>
      <c r="I6" s="12">
        <f t="shared" ref="I6:M6" si="1">H20</f>
        <v>60906.875</v>
      </c>
      <c r="J6" s="12">
        <f t="shared" si="1"/>
        <v>112860</v>
      </c>
      <c r="K6" s="12">
        <f t="shared" si="1"/>
        <v>180526.25</v>
      </c>
      <c r="L6" s="12">
        <f t="shared" si="1"/>
        <v>206933.75</v>
      </c>
      <c r="M6" s="12">
        <f t="shared" si="1"/>
        <v>214470.625</v>
      </c>
      <c r="N6" s="8">
        <f>B6</f>
        <v>68000</v>
      </c>
    </row>
    <row r="7" spans="1:14" ht="15" x14ac:dyDescent="0.25">
      <c r="A7" s="1" t="s">
        <v>66</v>
      </c>
      <c r="B7" s="6"/>
      <c r="C7" s="7"/>
      <c r="D7" s="7"/>
      <c r="E7" s="7"/>
      <c r="F7" s="7"/>
      <c r="N7" s="1"/>
    </row>
    <row r="8" spans="1:14" ht="16.8" x14ac:dyDescent="0.4">
      <c r="A8" s="15" t="s">
        <v>17</v>
      </c>
      <c r="B8" s="9">
        <f>'Sales Budget'!B15</f>
        <v>96200</v>
      </c>
      <c r="C8" s="9">
        <f>'Sales Budget'!C15</f>
        <v>77400</v>
      </c>
      <c r="D8" s="9">
        <f>'Sales Budget'!D15</f>
        <v>68400</v>
      </c>
      <c r="E8" s="9">
        <f>'Sales Budget'!E15</f>
        <v>91800</v>
      </c>
      <c r="F8" s="9">
        <f>'Sales Budget'!F15</f>
        <v>104400</v>
      </c>
      <c r="G8" s="9">
        <f>'Sales Budget'!G15</f>
        <v>145800</v>
      </c>
      <c r="H8" s="9">
        <f>'Sales Budget'!H15</f>
        <v>234000</v>
      </c>
      <c r="I8" s="9">
        <f>'Sales Budget'!I15</f>
        <v>273600</v>
      </c>
      <c r="J8" s="9">
        <f>'Sales Budget'!J15</f>
        <v>268200</v>
      </c>
      <c r="K8" s="9">
        <f>'Sales Budget'!K15</f>
        <v>180000</v>
      </c>
      <c r="L8" s="9">
        <f>'Sales Budget'!L15</f>
        <v>142200</v>
      </c>
      <c r="M8" s="9">
        <f>'Sales Budget'!M15</f>
        <v>127800</v>
      </c>
      <c r="N8" s="20">
        <f>SUM(B8:M8)</f>
        <v>1809800</v>
      </c>
    </row>
    <row r="9" spans="1:14" ht="16.8" x14ac:dyDescent="0.4">
      <c r="A9" s="16" t="s">
        <v>35</v>
      </c>
      <c r="B9" s="9">
        <f>B6+B8</f>
        <v>164200</v>
      </c>
      <c r="C9" s="9">
        <f>C6+C8</f>
        <v>142398.125</v>
      </c>
      <c r="D9" s="9">
        <f>D6+D8</f>
        <v>119433.125</v>
      </c>
      <c r="E9" s="9">
        <f>E6+E8</f>
        <v>121800</v>
      </c>
      <c r="F9" s="10">
        <f>F6+F8</f>
        <v>134400</v>
      </c>
      <c r="G9" s="10">
        <f t="shared" ref="G9:N9" si="2">G6+G8</f>
        <v>175800</v>
      </c>
      <c r="H9" s="10">
        <f t="shared" si="2"/>
        <v>264000</v>
      </c>
      <c r="I9" s="10">
        <f t="shared" si="2"/>
        <v>334506.875</v>
      </c>
      <c r="J9" s="10">
        <f t="shared" si="2"/>
        <v>381060</v>
      </c>
      <c r="K9" s="10">
        <f t="shared" si="2"/>
        <v>360526.25</v>
      </c>
      <c r="L9" s="10">
        <f t="shared" si="2"/>
        <v>349133.75</v>
      </c>
      <c r="M9" s="10">
        <f t="shared" si="2"/>
        <v>342270.625</v>
      </c>
      <c r="N9" s="10">
        <f t="shared" si="2"/>
        <v>1877800</v>
      </c>
    </row>
    <row r="10" spans="1:14" ht="15" x14ac:dyDescent="0.25">
      <c r="A10" s="16" t="s">
        <v>67</v>
      </c>
      <c r="B10" s="6"/>
      <c r="C10" s="7"/>
      <c r="D10" s="7"/>
      <c r="E10" s="7"/>
      <c r="F10" s="7"/>
      <c r="N10" s="1"/>
    </row>
    <row r="11" spans="1:14" ht="15" x14ac:dyDescent="0.25">
      <c r="A11" s="15" t="s">
        <v>116</v>
      </c>
      <c r="B11" s="3">
        <f>'Merchandise Purchases Budget'!B17</f>
        <v>46001.875</v>
      </c>
      <c r="C11" s="3">
        <f>'Merchandise Purchases Budget'!C17</f>
        <v>39765</v>
      </c>
      <c r="D11" s="3">
        <f>'Merchandise Purchases Budget'!D17</f>
        <v>40218.75</v>
      </c>
      <c r="E11" s="3">
        <f>'Merchandise Purchases Budget'!E17</f>
        <v>51851.250000000007</v>
      </c>
      <c r="F11" s="3">
        <f>'Merchandise Purchases Budget'!F17</f>
        <v>61875</v>
      </c>
      <c r="G11" s="3">
        <f>'Merchandise Purchases Budget'!G17</f>
        <v>89966.25</v>
      </c>
      <c r="H11" s="3">
        <f>'Merchandise Purchases Budget'!H17</f>
        <v>133093.125</v>
      </c>
      <c r="I11" s="3">
        <f>'Merchandise Purchases Budget'!I17</f>
        <v>150046.875</v>
      </c>
      <c r="J11" s="3">
        <f>'Merchandise Purchases Budget'!J17</f>
        <v>137733.75</v>
      </c>
      <c r="K11" s="3">
        <f>'Merchandise Purchases Budget'!K17</f>
        <v>94792.500000000015</v>
      </c>
      <c r="L11" s="3">
        <f>'Merchandise Purchases Budget'!L17</f>
        <v>76663.125</v>
      </c>
      <c r="M11" s="3">
        <f>'Merchandise Purchases Budget'!M17</f>
        <v>66845.625</v>
      </c>
      <c r="N11" s="34">
        <f>SUM(B11:M11)</f>
        <v>988853.125</v>
      </c>
    </row>
    <row r="12" spans="1:14" ht="16.8" x14ac:dyDescent="0.4">
      <c r="A12" s="15" t="s">
        <v>18</v>
      </c>
      <c r="B12" s="9">
        <f>'Selling &amp; Admin Budget'!B18</f>
        <v>53200</v>
      </c>
      <c r="C12" s="9">
        <f>'Selling &amp; Admin Budget'!C18</f>
        <v>51600</v>
      </c>
      <c r="D12" s="9">
        <f>'Selling &amp; Admin Budget'!D18</f>
        <v>54000</v>
      </c>
      <c r="E12" s="9">
        <f>'Selling &amp; Admin Budget'!E18</f>
        <v>54800</v>
      </c>
      <c r="F12" s="9">
        <f>'Selling &amp; Admin Budget'!F18</f>
        <v>57200</v>
      </c>
      <c r="G12" s="9">
        <f>'Selling &amp; Admin Budget'!G18</f>
        <v>66000</v>
      </c>
      <c r="H12" s="9">
        <f>'Selling &amp; Admin Budget'!H18</f>
        <v>70000</v>
      </c>
      <c r="I12" s="9">
        <f>'Selling &amp; Admin Budget'!I18</f>
        <v>71600</v>
      </c>
      <c r="J12" s="9">
        <f>'Selling &amp; Admin Budget'!J18</f>
        <v>62800</v>
      </c>
      <c r="K12" s="9">
        <f>'Selling &amp; Admin Budget'!K18</f>
        <v>58800</v>
      </c>
      <c r="L12" s="9">
        <f>'Selling &amp; Admin Budget'!L18</f>
        <v>58000</v>
      </c>
      <c r="M12" s="9">
        <f>'Selling &amp; Admin Budget'!M18</f>
        <v>54800</v>
      </c>
      <c r="N12" s="20">
        <f>SUM(B12:M12)</f>
        <v>712800</v>
      </c>
    </row>
    <row r="13" spans="1:14" ht="16.8" x14ac:dyDescent="0.4">
      <c r="A13" s="16" t="s">
        <v>68</v>
      </c>
      <c r="B13" s="9">
        <f>SUM(B11:B12)</f>
        <v>99201.875</v>
      </c>
      <c r="C13" s="9">
        <f>SUM(C11:C12)</f>
        <v>91365</v>
      </c>
      <c r="D13" s="9">
        <f>SUM(D11:D12)</f>
        <v>94218.75</v>
      </c>
      <c r="E13" s="9">
        <f>SUM(E11:E12)</f>
        <v>106651.25</v>
      </c>
      <c r="F13" s="10">
        <f>SUM(F11:F12)</f>
        <v>119075</v>
      </c>
      <c r="G13" s="10">
        <f t="shared" ref="G13:N13" si="3">SUM(G11:G12)</f>
        <v>155966.25</v>
      </c>
      <c r="H13" s="10">
        <f t="shared" si="3"/>
        <v>203093.125</v>
      </c>
      <c r="I13" s="10">
        <f t="shared" si="3"/>
        <v>221646.875</v>
      </c>
      <c r="J13" s="10">
        <f t="shared" si="3"/>
        <v>200533.75</v>
      </c>
      <c r="K13" s="10">
        <f t="shared" si="3"/>
        <v>153592.5</v>
      </c>
      <c r="L13" s="10">
        <f t="shared" si="3"/>
        <v>134663.125</v>
      </c>
      <c r="M13" s="10">
        <f t="shared" si="3"/>
        <v>121645.625</v>
      </c>
      <c r="N13" s="10">
        <f t="shared" si="3"/>
        <v>1701653.125</v>
      </c>
    </row>
    <row r="14" spans="1:14" ht="16.8" x14ac:dyDescent="0.4">
      <c r="A14" s="1" t="s">
        <v>4</v>
      </c>
      <c r="B14" s="9">
        <f>B9-B13</f>
        <v>64998.125</v>
      </c>
      <c r="C14" s="9">
        <f>C9-C13</f>
        <v>51033.125</v>
      </c>
      <c r="D14" s="9">
        <f>D9-D13</f>
        <v>25214.375</v>
      </c>
      <c r="E14" s="9">
        <f>E9-E13</f>
        <v>15148.75</v>
      </c>
      <c r="F14" s="9">
        <f>F9-F13</f>
        <v>15325</v>
      </c>
      <c r="G14" s="9">
        <f t="shared" ref="G14:N14" si="4">G9-G13</f>
        <v>19833.75</v>
      </c>
      <c r="H14" s="9">
        <f t="shared" si="4"/>
        <v>60906.875</v>
      </c>
      <c r="I14" s="9">
        <f t="shared" si="4"/>
        <v>112860</v>
      </c>
      <c r="J14" s="9">
        <f t="shared" si="4"/>
        <v>180526.25</v>
      </c>
      <c r="K14" s="9">
        <f t="shared" si="4"/>
        <v>206933.75</v>
      </c>
      <c r="L14" s="9">
        <f t="shared" si="4"/>
        <v>214470.625</v>
      </c>
      <c r="M14" s="9">
        <f t="shared" si="4"/>
        <v>220625</v>
      </c>
      <c r="N14" s="9">
        <f t="shared" si="4"/>
        <v>176146.875</v>
      </c>
    </row>
    <row r="15" spans="1:14" ht="15" x14ac:dyDescent="0.25">
      <c r="A15" s="1" t="s">
        <v>5</v>
      </c>
      <c r="B15" s="21"/>
      <c r="C15" s="7"/>
      <c r="D15" s="7"/>
      <c r="E15" s="7"/>
      <c r="F15" s="7"/>
      <c r="N15" s="1"/>
    </row>
    <row r="16" spans="1:14" ht="15" customHeight="1" x14ac:dyDescent="0.25">
      <c r="A16" s="15" t="s">
        <v>118</v>
      </c>
      <c r="B16" s="22">
        <f>IF(B14&gt;30000,0,IF(B14&lt;0,30000+ABS(B14),30000-B14))</f>
        <v>0</v>
      </c>
      <c r="C16" s="22">
        <f t="shared" ref="C16:M16" si="5">IF(C14&gt;30000,0,IF(C14&lt;0,30000+ABS(C14),30000-C14))</f>
        <v>0</v>
      </c>
      <c r="D16" s="22">
        <f t="shared" si="5"/>
        <v>4785.625</v>
      </c>
      <c r="E16" s="22">
        <f t="shared" si="5"/>
        <v>14851.25</v>
      </c>
      <c r="F16" s="22">
        <f t="shared" si="5"/>
        <v>14675</v>
      </c>
      <c r="G16" s="22">
        <f t="shared" si="5"/>
        <v>10166.25</v>
      </c>
      <c r="H16" s="22">
        <f t="shared" si="5"/>
        <v>0</v>
      </c>
      <c r="I16" s="22">
        <f t="shared" si="5"/>
        <v>0</v>
      </c>
      <c r="J16" s="22">
        <f t="shared" si="5"/>
        <v>0</v>
      </c>
      <c r="K16" s="22">
        <f t="shared" si="5"/>
        <v>0</v>
      </c>
      <c r="L16" s="22">
        <f t="shared" si="5"/>
        <v>0</v>
      </c>
      <c r="M16" s="22">
        <f t="shared" si="5"/>
        <v>0</v>
      </c>
      <c r="N16" s="34">
        <f>SUM(B16:M16)</f>
        <v>44478.125</v>
      </c>
    </row>
    <row r="17" spans="1:14" ht="15" customHeight="1" x14ac:dyDescent="0.25">
      <c r="A17" s="15" t="s">
        <v>40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3">
        <f>-SUM(B16:M16)</f>
        <v>-44478.125</v>
      </c>
      <c r="N17" s="34">
        <f>SUM(B17:M17)</f>
        <v>-44478.125</v>
      </c>
    </row>
    <row r="18" spans="1:14" ht="16.8" x14ac:dyDescent="0.4">
      <c r="A18" s="15" t="s">
        <v>119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9">
        <f>(-B16*0.12)+(-C16*0.11)+(-D16*0.1)+(-E16*0.09)+(-F16*0.08)+(-G16*0.07)+(-H16*0.06)+(-I16*0.05)+(-J16*0.04)+(-K16*0.03)+(-L16*0.02)+(-M16*0.01)</f>
        <v>-3700.8125</v>
      </c>
      <c r="N18" s="20">
        <f>SUM(B18:M18)</f>
        <v>-3700.8125</v>
      </c>
    </row>
    <row r="19" spans="1:14" ht="16.8" x14ac:dyDescent="0.4">
      <c r="A19" s="16" t="s">
        <v>19</v>
      </c>
      <c r="B19" s="14">
        <f>SUM(B16:B18)</f>
        <v>0</v>
      </c>
      <c r="C19" s="14">
        <f>SUM(C16:C18)</f>
        <v>0</v>
      </c>
      <c r="D19" s="14">
        <f t="shared" ref="D19:N19" si="6">SUM(D16:D18)</f>
        <v>4785.625</v>
      </c>
      <c r="E19" s="14">
        <f t="shared" si="6"/>
        <v>14851.25</v>
      </c>
      <c r="F19" s="14">
        <f t="shared" si="6"/>
        <v>14675</v>
      </c>
      <c r="G19" s="14">
        <f t="shared" si="6"/>
        <v>10166.25</v>
      </c>
      <c r="H19" s="14">
        <f t="shared" si="6"/>
        <v>0</v>
      </c>
      <c r="I19" s="14">
        <f t="shared" si="6"/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9">
        <f t="shared" si="6"/>
        <v>-48178.9375</v>
      </c>
      <c r="N19" s="9">
        <f t="shared" si="6"/>
        <v>-3700.8125</v>
      </c>
    </row>
    <row r="20" spans="1:14" ht="16.8" x14ac:dyDescent="0.4">
      <c r="A20" s="1" t="s">
        <v>69</v>
      </c>
      <c r="B20" s="17">
        <f>B14+B19</f>
        <v>64998.125</v>
      </c>
      <c r="C20" s="17">
        <f>C14+C19</f>
        <v>51033.125</v>
      </c>
      <c r="D20" s="17">
        <f>D14+D19</f>
        <v>30000</v>
      </c>
      <c r="E20" s="17">
        <f>E14+E19</f>
        <v>30000</v>
      </c>
      <c r="F20" s="17">
        <f>F14+F19</f>
        <v>30000</v>
      </c>
      <c r="G20" s="17">
        <f t="shared" ref="G20:N20" si="7">G14+G19</f>
        <v>30000</v>
      </c>
      <c r="H20" s="17">
        <f t="shared" si="7"/>
        <v>60906.875</v>
      </c>
      <c r="I20" s="17">
        <f t="shared" si="7"/>
        <v>112860</v>
      </c>
      <c r="J20" s="17">
        <f t="shared" si="7"/>
        <v>180526.25</v>
      </c>
      <c r="K20" s="17">
        <f t="shared" si="7"/>
        <v>206933.75</v>
      </c>
      <c r="L20" s="17">
        <f t="shared" si="7"/>
        <v>214470.625</v>
      </c>
      <c r="M20" s="17">
        <f t="shared" si="7"/>
        <v>172446.0625</v>
      </c>
      <c r="N20" s="17">
        <f t="shared" si="7"/>
        <v>172446.0625</v>
      </c>
    </row>
    <row r="22" spans="1:14" ht="15.6" x14ac:dyDescent="0.3">
      <c r="A22" s="1" t="s">
        <v>134</v>
      </c>
      <c r="B22" s="64">
        <v>30000</v>
      </c>
      <c r="C22" s="64">
        <v>30000</v>
      </c>
      <c r="D22" s="64">
        <v>30000</v>
      </c>
      <c r="E22" s="64">
        <v>30000</v>
      </c>
      <c r="F22" s="64">
        <v>30000</v>
      </c>
      <c r="G22" s="64">
        <v>30000</v>
      </c>
      <c r="H22" s="64">
        <v>30000</v>
      </c>
      <c r="I22" s="64">
        <v>30000</v>
      </c>
      <c r="J22" s="64">
        <v>30000</v>
      </c>
      <c r="K22" s="64">
        <v>30000</v>
      </c>
      <c r="L22" s="64">
        <v>30000</v>
      </c>
      <c r="M22" s="64">
        <v>30000</v>
      </c>
    </row>
  </sheetData>
  <mergeCells count="3">
    <mergeCell ref="A1:N1"/>
    <mergeCell ref="A2:N2"/>
    <mergeCell ref="A3:N3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theme="8" tint="0.39997558519241921"/>
    <pageSetUpPr fitToPage="1"/>
  </sheetPr>
  <dimension ref="A1:O17"/>
  <sheetViews>
    <sheetView workbookViewId="0">
      <selection activeCell="G12" sqref="G12"/>
    </sheetView>
  </sheetViews>
  <sheetFormatPr defaultRowHeight="13.2" x14ac:dyDescent="0.25"/>
  <cols>
    <col min="1" max="1" width="37.88671875" customWidth="1"/>
    <col min="2" max="13" width="15" customWidth="1"/>
    <col min="14" max="14" width="14.33203125" bestFit="1" customWidth="1"/>
  </cols>
  <sheetData>
    <row r="1" spans="1:15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15.6" x14ac:dyDescent="0.3">
      <c r="A2" s="72" t="s">
        <v>120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5.6" x14ac:dyDescent="0.3">
      <c r="A3" s="72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ht="15" x14ac:dyDescent="0.25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5" x14ac:dyDescent="0.25">
      <c r="A5" s="11"/>
    </row>
    <row r="6" spans="1:15" ht="15.6" x14ac:dyDescent="0.3">
      <c r="A6" s="1"/>
      <c r="B6" s="2" t="s">
        <v>81</v>
      </c>
      <c r="C6" s="2" t="s">
        <v>82</v>
      </c>
      <c r="D6" s="2" t="s">
        <v>83</v>
      </c>
      <c r="E6" s="2" t="s">
        <v>84</v>
      </c>
      <c r="F6" s="2" t="s">
        <v>100</v>
      </c>
      <c r="G6" s="2" t="s">
        <v>86</v>
      </c>
      <c r="H6" s="2" t="s">
        <v>87</v>
      </c>
      <c r="I6" s="2" t="s">
        <v>88</v>
      </c>
      <c r="J6" s="2" t="s">
        <v>89</v>
      </c>
      <c r="K6" s="2" t="s">
        <v>90</v>
      </c>
      <c r="L6" s="2" t="s">
        <v>91</v>
      </c>
      <c r="M6" s="2" t="s">
        <v>92</v>
      </c>
      <c r="N6" s="2" t="s">
        <v>54</v>
      </c>
    </row>
    <row r="7" spans="1:15" ht="15" x14ac:dyDescent="0.25">
      <c r="A7" s="1" t="s">
        <v>0</v>
      </c>
      <c r="B7" s="6">
        <f>'Sales Budget'!B8</f>
        <v>81000</v>
      </c>
      <c r="C7" s="6">
        <f>'Sales Budget'!C8</f>
        <v>63000</v>
      </c>
      <c r="D7" s="6">
        <f>'Sales Budget'!D8</f>
        <v>90000</v>
      </c>
      <c r="E7" s="6">
        <f>'Sales Budget'!E8</f>
        <v>99000</v>
      </c>
      <c r="F7" s="6">
        <f>'Sales Budget'!F8</f>
        <v>126000</v>
      </c>
      <c r="G7" s="6">
        <f>'Sales Budget'!G8</f>
        <v>225000</v>
      </c>
      <c r="H7" s="6">
        <f>'Sales Budget'!H8</f>
        <v>270000</v>
      </c>
      <c r="I7" s="6">
        <f>'Sales Budget'!I8</f>
        <v>288000</v>
      </c>
      <c r="J7" s="6">
        <f>'Sales Budget'!J8</f>
        <v>189000</v>
      </c>
      <c r="K7" s="6">
        <f>'Sales Budget'!K8</f>
        <v>144000</v>
      </c>
      <c r="L7" s="6">
        <f>'Sales Budget'!L8</f>
        <v>135000</v>
      </c>
      <c r="M7" s="6">
        <f>'Sales Budget'!M8</f>
        <v>99000</v>
      </c>
      <c r="N7" s="8">
        <f>SUM(B7:M7)</f>
        <v>1809000</v>
      </c>
    </row>
    <row r="8" spans="1:15" ht="16.8" x14ac:dyDescent="0.4">
      <c r="A8" s="1" t="s">
        <v>64</v>
      </c>
      <c r="B8" s="9">
        <f>B7*'Budgeting Assumptions'!$B$13</f>
        <v>44550</v>
      </c>
      <c r="C8" s="9">
        <f>C7*'Budgeting Assumptions'!$B$13</f>
        <v>34650</v>
      </c>
      <c r="D8" s="9">
        <f>D7*'Budgeting Assumptions'!$B$13</f>
        <v>49500.000000000007</v>
      </c>
      <c r="E8" s="9">
        <f>E7*'Budgeting Assumptions'!$B$13</f>
        <v>54450.000000000007</v>
      </c>
      <c r="F8" s="9">
        <f>F7*'Budgeting Assumptions'!$B$13</f>
        <v>69300</v>
      </c>
      <c r="G8" s="9">
        <f>G7*'Budgeting Assumptions'!$B$13</f>
        <v>123750.00000000001</v>
      </c>
      <c r="H8" s="9">
        <f>H7*'Budgeting Assumptions'!$B$13</f>
        <v>148500</v>
      </c>
      <c r="I8" s="9">
        <f>I7*'Budgeting Assumptions'!$B$13</f>
        <v>158400</v>
      </c>
      <c r="J8" s="9">
        <f>J7*'Budgeting Assumptions'!$B$13</f>
        <v>103950.00000000001</v>
      </c>
      <c r="K8" s="9">
        <f>K7*'Budgeting Assumptions'!$B$13</f>
        <v>79200</v>
      </c>
      <c r="L8" s="9">
        <f>L7*'Budgeting Assumptions'!$B$13</f>
        <v>74250</v>
      </c>
      <c r="M8" s="9">
        <f>M7*'Budgeting Assumptions'!$B$13</f>
        <v>54450.000000000007</v>
      </c>
      <c r="N8" s="20">
        <f>SUM(B8:M8)</f>
        <v>994950</v>
      </c>
    </row>
    <row r="9" spans="1:15" ht="15" x14ac:dyDescent="0.25">
      <c r="A9" s="1" t="s">
        <v>1</v>
      </c>
      <c r="B9" s="3">
        <f>B7-B8</f>
        <v>36450</v>
      </c>
      <c r="C9" s="3">
        <f t="shared" ref="C9:N9" si="0">C7-C8</f>
        <v>28350</v>
      </c>
      <c r="D9" s="3">
        <f t="shared" si="0"/>
        <v>40499.999999999993</v>
      </c>
      <c r="E9" s="3">
        <f t="shared" si="0"/>
        <v>44549.999999999993</v>
      </c>
      <c r="F9" s="3">
        <f t="shared" si="0"/>
        <v>56700</v>
      </c>
      <c r="G9" s="3">
        <f t="shared" si="0"/>
        <v>101249.99999999999</v>
      </c>
      <c r="H9" s="3">
        <f t="shared" si="0"/>
        <v>121500</v>
      </c>
      <c r="I9" s="3">
        <f t="shared" si="0"/>
        <v>129600</v>
      </c>
      <c r="J9" s="3">
        <f t="shared" si="0"/>
        <v>85049.999999999985</v>
      </c>
      <c r="K9" s="3">
        <f t="shared" si="0"/>
        <v>64800</v>
      </c>
      <c r="L9" s="3">
        <f t="shared" si="0"/>
        <v>60750</v>
      </c>
      <c r="M9" s="3">
        <f t="shared" si="0"/>
        <v>44549.999999999993</v>
      </c>
      <c r="N9" s="3">
        <f t="shared" si="0"/>
        <v>814050</v>
      </c>
    </row>
    <row r="10" spans="1:15" ht="16.8" x14ac:dyDescent="0.4">
      <c r="A10" s="1" t="s">
        <v>36</v>
      </c>
      <c r="B10" s="9">
        <f>'Selling &amp; Admin Budget'!B16</f>
        <v>61200</v>
      </c>
      <c r="C10" s="9">
        <f>'Selling &amp; Admin Budget'!C16</f>
        <v>59600</v>
      </c>
      <c r="D10" s="9">
        <f>'Selling &amp; Admin Budget'!D16</f>
        <v>62000</v>
      </c>
      <c r="E10" s="9">
        <f>'Selling &amp; Admin Budget'!E16</f>
        <v>62800</v>
      </c>
      <c r="F10" s="9">
        <f>'Selling &amp; Admin Budget'!F16</f>
        <v>65200</v>
      </c>
      <c r="G10" s="9">
        <f>'Selling &amp; Admin Budget'!G16</f>
        <v>74000</v>
      </c>
      <c r="H10" s="9">
        <f>'Selling &amp; Admin Budget'!H16</f>
        <v>78000</v>
      </c>
      <c r="I10" s="9">
        <f>'Selling &amp; Admin Budget'!I16</f>
        <v>79600</v>
      </c>
      <c r="J10" s="9">
        <f>'Selling &amp; Admin Budget'!J16</f>
        <v>70800</v>
      </c>
      <c r="K10" s="9">
        <f>'Selling &amp; Admin Budget'!K16</f>
        <v>66800</v>
      </c>
      <c r="L10" s="9">
        <f>'Selling &amp; Admin Budget'!L16</f>
        <v>66000</v>
      </c>
      <c r="M10" s="9">
        <f>'Selling &amp; Admin Budget'!M16</f>
        <v>62800</v>
      </c>
      <c r="N10" s="20">
        <f>SUM(B10:M10)</f>
        <v>808800</v>
      </c>
    </row>
    <row r="11" spans="1:15" ht="15" x14ac:dyDescent="0.25">
      <c r="A11" s="1" t="s">
        <v>38</v>
      </c>
      <c r="B11" s="3">
        <f>B9-B10</f>
        <v>-24750</v>
      </c>
      <c r="C11" s="3">
        <f t="shared" ref="C11:N11" si="1">C9-C10</f>
        <v>-31250</v>
      </c>
      <c r="D11" s="3">
        <f t="shared" si="1"/>
        <v>-21500.000000000007</v>
      </c>
      <c r="E11" s="3">
        <f t="shared" si="1"/>
        <v>-18250.000000000007</v>
      </c>
      <c r="F11" s="3">
        <f t="shared" si="1"/>
        <v>-8500</v>
      </c>
      <c r="G11" s="3">
        <f t="shared" si="1"/>
        <v>27249.999999999985</v>
      </c>
      <c r="H11" s="3">
        <f t="shared" si="1"/>
        <v>43500</v>
      </c>
      <c r="I11" s="3">
        <f t="shared" si="1"/>
        <v>50000</v>
      </c>
      <c r="J11" s="3">
        <f t="shared" si="1"/>
        <v>14249.999999999985</v>
      </c>
      <c r="K11" s="3">
        <f t="shared" si="1"/>
        <v>-2000</v>
      </c>
      <c r="L11" s="3">
        <f t="shared" si="1"/>
        <v>-5250</v>
      </c>
      <c r="M11" s="3">
        <f t="shared" si="1"/>
        <v>-18250.000000000007</v>
      </c>
      <c r="N11" s="3">
        <f t="shared" si="1"/>
        <v>5250</v>
      </c>
    </row>
    <row r="12" spans="1:15" ht="16.8" x14ac:dyDescent="0.4">
      <c r="A12" s="1" t="s">
        <v>37</v>
      </c>
      <c r="B12" s="9">
        <f>'Cash Budget'!B16*0.01</f>
        <v>0</v>
      </c>
      <c r="C12" s="9">
        <f>('Cash Budget'!B16+'Cash Budget'!C16)*0.01</f>
        <v>0</v>
      </c>
      <c r="D12" s="9">
        <f>('Cash Budget'!$B$16+'Cash Budget'!$C$16+'Cash Budget'!$D$16)*0.01</f>
        <v>47.856250000000003</v>
      </c>
      <c r="E12" s="9">
        <f>('Cash Budget'!$B$16+'Cash Budget'!$C$16+'Cash Budget'!$D$16+'Cash Budget'!$E$16)*0.01</f>
        <v>196.36875000000001</v>
      </c>
      <c r="F12" s="9">
        <f>('Cash Budget'!$B$16+'Cash Budget'!$C$16+'Cash Budget'!$D$16+'Cash Budget'!$E$16+'Cash Budget'!$F$16)*0.01</f>
        <v>343.11875000000003</v>
      </c>
      <c r="G12" s="9">
        <f>('Cash Budget'!$B$16+'Cash Budget'!$C$16+'Cash Budget'!$D$16+'Cash Budget'!$E$16+'Cash Budget'!$F$16+'Cash Budget'!$G$16)*0.01</f>
        <v>444.78125</v>
      </c>
      <c r="H12" s="9">
        <f>('Cash Budget'!$B$16+'Cash Budget'!$C$16+'Cash Budget'!$D$16+'Cash Budget'!$E$16+'Cash Budget'!$F$16+'Cash Budget'!$G$16+'Cash Budget'!$H$16)*0.01</f>
        <v>444.78125</v>
      </c>
      <c r="I12" s="9">
        <f>('Cash Budget'!$B$16+'Cash Budget'!$C$16+'Cash Budget'!$D$16+'Cash Budget'!$E$16+'Cash Budget'!$F$16+'Cash Budget'!$G$16+'Cash Budget'!$H$16+'Cash Budget'!$I$16)*0.01</f>
        <v>444.78125</v>
      </c>
      <c r="J12" s="9">
        <f>('Cash Budget'!$B$16+'Cash Budget'!$C$16+'Cash Budget'!$D$16+'Cash Budget'!$E$16+'Cash Budget'!$F$16+'Cash Budget'!$G$16+'Cash Budget'!$H$16+'Cash Budget'!$I$16+'Cash Budget'!$J$16)*0.01</f>
        <v>444.78125</v>
      </c>
      <c r="K12" s="9">
        <f>('Cash Budget'!$B$16+'Cash Budget'!$C$16+'Cash Budget'!$D$16+'Cash Budget'!$E$16+'Cash Budget'!$F$16+'Cash Budget'!$G$16+'Cash Budget'!$H$16+'Cash Budget'!$I$16+'Cash Budget'!$J$16+'Cash Budget'!$K$16)*0.01</f>
        <v>444.78125</v>
      </c>
      <c r="L12" s="9">
        <f>('Cash Budget'!$B$16+'Cash Budget'!$C$16+'Cash Budget'!$D$16+'Cash Budget'!$E$16+'Cash Budget'!$F$16+'Cash Budget'!$G$16+'Cash Budget'!$H$16+'Cash Budget'!$I$16+'Cash Budget'!$J$16+'Cash Budget'!$K$16+'Cash Budget'!$L$16)*0.01</f>
        <v>444.78125</v>
      </c>
      <c r="M12" s="9">
        <f>('Cash Budget'!$B$16+'Cash Budget'!$C$16+'Cash Budget'!$D$16+'Cash Budget'!$E$16+'Cash Budget'!$F$16+'Cash Budget'!$G$16+'Cash Budget'!$H$16+'Cash Budget'!$I$16+'Cash Budget'!$J$16+'Cash Budget'!$K$16+'Cash Budget'!$L$16+'Cash Budget'!$M$16)*0.01</f>
        <v>444.78125</v>
      </c>
      <c r="N12" s="20">
        <f>SUM(B12:M12)</f>
        <v>3700.8125</v>
      </c>
    </row>
    <row r="13" spans="1:15" ht="16.8" x14ac:dyDescent="0.4">
      <c r="A13" s="1" t="s">
        <v>39</v>
      </c>
      <c r="B13" s="39">
        <f>B11-B12</f>
        <v>-24750</v>
      </c>
      <c r="C13" s="39">
        <f t="shared" ref="C13:N13" si="2">C11-C12</f>
        <v>-31250</v>
      </c>
      <c r="D13" s="39">
        <f t="shared" si="2"/>
        <v>-21547.856250000008</v>
      </c>
      <c r="E13" s="39">
        <f t="shared" si="2"/>
        <v>-18446.368750000009</v>
      </c>
      <c r="F13" s="39">
        <f t="shared" si="2"/>
        <v>-8843.1187499999996</v>
      </c>
      <c r="G13" s="39">
        <f t="shared" si="2"/>
        <v>26805.218749999985</v>
      </c>
      <c r="H13" s="39">
        <f t="shared" si="2"/>
        <v>43055.21875</v>
      </c>
      <c r="I13" s="39">
        <f t="shared" si="2"/>
        <v>49555.21875</v>
      </c>
      <c r="J13" s="39">
        <f t="shared" si="2"/>
        <v>13805.218749999985</v>
      </c>
      <c r="K13" s="39">
        <f t="shared" si="2"/>
        <v>-2444.78125</v>
      </c>
      <c r="L13" s="39">
        <f t="shared" si="2"/>
        <v>-5694.78125</v>
      </c>
      <c r="M13" s="39">
        <f t="shared" si="2"/>
        <v>-18694.781250000007</v>
      </c>
      <c r="N13" s="39">
        <f t="shared" si="2"/>
        <v>1549.1875</v>
      </c>
      <c r="O13" s="3" t="s">
        <v>45</v>
      </c>
    </row>
    <row r="17" spans="2:14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</sheetData>
  <mergeCells count="4">
    <mergeCell ref="A1:N1"/>
    <mergeCell ref="A2:N2"/>
    <mergeCell ref="A3:N3"/>
    <mergeCell ref="A4:N4"/>
  </mergeCells>
  <phoneticPr fontId="0" type="noConversion"/>
  <printOptions gridLines="1"/>
  <pageMargins left="0.75" right="0.75" top="1" bottom="1" header="0.5" footer="0.5"/>
  <pageSetup orientation="portrait" r:id="rId1"/>
  <headerFooter alignWithMargins="0"/>
  <ignoredErrors>
    <ignoredError sqref="B10 C10:N10 B12:D12 E12:F12 G12:N12 N9 N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8" tint="0.39997558519241921"/>
  </sheetPr>
  <dimension ref="A1:M31"/>
  <sheetViews>
    <sheetView zoomScale="70" zoomScaleNormal="70" workbookViewId="0">
      <selection activeCell="D20" sqref="D20"/>
    </sheetView>
  </sheetViews>
  <sheetFormatPr defaultColWidth="9.109375" defaultRowHeight="15" x14ac:dyDescent="0.25"/>
  <cols>
    <col min="1" max="1" width="41.44140625" style="1" bestFit="1" customWidth="1"/>
    <col min="2" max="3" width="15" style="1" customWidth="1"/>
    <col min="4" max="4" width="15" style="11" customWidth="1"/>
    <col min="5" max="13" width="15" style="1" customWidth="1"/>
    <col min="14" max="16384" width="9.109375" style="1"/>
  </cols>
  <sheetData>
    <row r="1" spans="1:13" ht="15.6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.6" x14ac:dyDescent="0.3">
      <c r="A2" s="72" t="s">
        <v>121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6" x14ac:dyDescent="0.3">
      <c r="A3" s="76" t="s">
        <v>122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5.6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5.6" x14ac:dyDescent="0.3">
      <c r="A5" s="23"/>
      <c r="B5" s="2" t="s">
        <v>81</v>
      </c>
      <c r="C5" s="2" t="s">
        <v>82</v>
      </c>
      <c r="D5" s="2" t="s">
        <v>83</v>
      </c>
      <c r="E5" s="2" t="s">
        <v>84</v>
      </c>
      <c r="F5" s="2" t="s">
        <v>100</v>
      </c>
      <c r="G5" s="2" t="s">
        <v>86</v>
      </c>
      <c r="H5" s="2" t="s">
        <v>87</v>
      </c>
      <c r="I5" s="2" t="s">
        <v>88</v>
      </c>
      <c r="J5" s="2" t="s">
        <v>89</v>
      </c>
      <c r="K5" s="2" t="s">
        <v>90</v>
      </c>
      <c r="L5" s="2" t="s">
        <v>91</v>
      </c>
      <c r="M5" s="2" t="s">
        <v>92</v>
      </c>
    </row>
    <row r="6" spans="1:13" ht="15.6" x14ac:dyDescent="0.3">
      <c r="A6" s="24" t="s">
        <v>6</v>
      </c>
      <c r="B6" s="24"/>
      <c r="C6" s="24"/>
      <c r="D6" s="24"/>
    </row>
    <row r="7" spans="1:13" x14ac:dyDescent="0.25">
      <c r="A7" s="1" t="s">
        <v>7</v>
      </c>
      <c r="B7" s="6"/>
    </row>
    <row r="8" spans="1:13" x14ac:dyDescent="0.25">
      <c r="A8" s="15" t="s">
        <v>21</v>
      </c>
      <c r="B8" s="6">
        <f>'Cash Budget'!B20</f>
        <v>64998.125</v>
      </c>
      <c r="C8" s="6">
        <f>'Cash Budget'!C20</f>
        <v>51033.125</v>
      </c>
      <c r="D8" s="6">
        <f>'Cash Budget'!D20</f>
        <v>30000</v>
      </c>
      <c r="E8" s="6">
        <f>'Cash Budget'!E20</f>
        <v>30000</v>
      </c>
      <c r="F8" s="6">
        <f>'Cash Budget'!F20</f>
        <v>30000</v>
      </c>
      <c r="G8" s="6">
        <f>'Cash Budget'!G20</f>
        <v>30000</v>
      </c>
      <c r="H8" s="6">
        <f>'Cash Budget'!H20</f>
        <v>60906.875</v>
      </c>
      <c r="I8" s="6">
        <f>'Cash Budget'!I20</f>
        <v>112860</v>
      </c>
      <c r="J8" s="6">
        <f>'Cash Budget'!J20</f>
        <v>180526.25</v>
      </c>
      <c r="K8" s="6">
        <f>'Cash Budget'!K20</f>
        <v>206933.75</v>
      </c>
      <c r="L8" s="6">
        <f>'Cash Budget'!L20</f>
        <v>214470.625</v>
      </c>
      <c r="M8" s="6">
        <f>'Cash Budget'!M20</f>
        <v>172446.0625</v>
      </c>
    </row>
    <row r="9" spans="1:13" x14ac:dyDescent="0.25">
      <c r="A9" s="15" t="s">
        <v>22</v>
      </c>
      <c r="B9" s="3">
        <f>'Sales Budget'!B8*'Budgeting Assumptions'!$B$10</f>
        <v>64800</v>
      </c>
      <c r="C9" s="3">
        <f>'Sales Budget'!C8*'Budgeting Assumptions'!$B$10</f>
        <v>50400</v>
      </c>
      <c r="D9" s="3">
        <f>'Sales Budget'!D8*'Budgeting Assumptions'!$B$10</f>
        <v>72000</v>
      </c>
      <c r="E9" s="3">
        <f>'Sales Budget'!E8*'Budgeting Assumptions'!$B$10</f>
        <v>79200</v>
      </c>
      <c r="F9" s="3">
        <f>'Sales Budget'!F8*'Budgeting Assumptions'!$B$10</f>
        <v>100800</v>
      </c>
      <c r="G9" s="3">
        <f>'Sales Budget'!G8*'Budgeting Assumptions'!$B$10</f>
        <v>180000</v>
      </c>
      <c r="H9" s="3">
        <f>'Sales Budget'!H8*'Budgeting Assumptions'!$B$10</f>
        <v>216000</v>
      </c>
      <c r="I9" s="3">
        <f>'Sales Budget'!I8*'Budgeting Assumptions'!$B$10</f>
        <v>230400</v>
      </c>
      <c r="J9" s="3">
        <f>'Sales Budget'!J8*'Budgeting Assumptions'!$B$10</f>
        <v>151200</v>
      </c>
      <c r="K9" s="3">
        <f>'Sales Budget'!K8*'Budgeting Assumptions'!$B$10</f>
        <v>115200</v>
      </c>
      <c r="L9" s="3">
        <f>'Sales Budget'!L8*'Budgeting Assumptions'!$B$10</f>
        <v>108000</v>
      </c>
      <c r="M9" s="3">
        <f>'Sales Budget'!M8*'Budgeting Assumptions'!$B$10</f>
        <v>79200</v>
      </c>
    </row>
    <row r="10" spans="1:13" ht="16.8" x14ac:dyDescent="0.4">
      <c r="A10" s="15" t="s">
        <v>123</v>
      </c>
      <c r="B10" s="9">
        <f>'Merchandise Purchases Budget'!B7</f>
        <v>8662.5</v>
      </c>
      <c r="C10" s="9">
        <f>'Merchandise Purchases Budget'!C7</f>
        <v>12375.000000000002</v>
      </c>
      <c r="D10" s="9">
        <f>'Merchandise Purchases Budget'!D7</f>
        <v>13612.500000000002</v>
      </c>
      <c r="E10" s="9">
        <f>'Merchandise Purchases Budget'!E7</f>
        <v>17325</v>
      </c>
      <c r="F10" s="9">
        <f>'Merchandise Purchases Budget'!F7</f>
        <v>30937.500000000004</v>
      </c>
      <c r="G10" s="9">
        <f>'Merchandise Purchases Budget'!G7</f>
        <v>37125</v>
      </c>
      <c r="H10" s="9">
        <f>'Merchandise Purchases Budget'!H7</f>
        <v>39600</v>
      </c>
      <c r="I10" s="9">
        <f>'Merchandise Purchases Budget'!I7</f>
        <v>25987.500000000004</v>
      </c>
      <c r="J10" s="9">
        <f>'Merchandise Purchases Budget'!J7</f>
        <v>19800</v>
      </c>
      <c r="K10" s="9">
        <f>'Merchandise Purchases Budget'!K7</f>
        <v>18562.5</v>
      </c>
      <c r="L10" s="9">
        <f>'Merchandise Purchases Budget'!L7</f>
        <v>13612.500000000002</v>
      </c>
      <c r="M10" s="9">
        <f>'Merchandise Purchases Budget'!M7</f>
        <v>12100</v>
      </c>
    </row>
    <row r="11" spans="1:13" x14ac:dyDescent="0.25">
      <c r="A11" s="16" t="s">
        <v>23</v>
      </c>
      <c r="B11" s="3">
        <f>SUM(B8:B10)</f>
        <v>138460.625</v>
      </c>
      <c r="C11" s="3">
        <f t="shared" ref="C11:M11" si="0">SUM(C8:C10)</f>
        <v>113808.125</v>
      </c>
      <c r="D11" s="3">
        <f t="shared" si="0"/>
        <v>115612.5</v>
      </c>
      <c r="E11" s="3">
        <f t="shared" si="0"/>
        <v>126525</v>
      </c>
      <c r="F11" s="3">
        <f t="shared" si="0"/>
        <v>161737.5</v>
      </c>
      <c r="G11" s="3">
        <f t="shared" si="0"/>
        <v>247125</v>
      </c>
      <c r="H11" s="3">
        <f t="shared" si="0"/>
        <v>316506.875</v>
      </c>
      <c r="I11" s="3">
        <f t="shared" si="0"/>
        <v>369247.5</v>
      </c>
      <c r="J11" s="3">
        <f t="shared" si="0"/>
        <v>351526.25</v>
      </c>
      <c r="K11" s="3">
        <f t="shared" si="0"/>
        <v>340696.25</v>
      </c>
      <c r="L11" s="3">
        <f t="shared" si="0"/>
        <v>336083.125</v>
      </c>
      <c r="M11" s="3">
        <f t="shared" si="0"/>
        <v>263746.0625</v>
      </c>
    </row>
    <row r="12" spans="1:13" x14ac:dyDescent="0.25">
      <c r="A12" s="1" t="s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15" t="s">
        <v>24</v>
      </c>
      <c r="B13" s="3">
        <f>'Beginning Balance Sheet'!$B$12</f>
        <v>900000</v>
      </c>
      <c r="C13" s="3">
        <f>'Beginning Balance Sheet'!$B$12</f>
        <v>900000</v>
      </c>
      <c r="D13" s="3">
        <f>'Beginning Balance Sheet'!$B$12</f>
        <v>900000</v>
      </c>
      <c r="E13" s="3">
        <f>'Beginning Balance Sheet'!$B$12</f>
        <v>900000</v>
      </c>
      <c r="F13" s="3">
        <f>'Beginning Balance Sheet'!$B$12</f>
        <v>900000</v>
      </c>
      <c r="G13" s="3">
        <f>'Beginning Balance Sheet'!$B$12</f>
        <v>900000</v>
      </c>
      <c r="H13" s="3">
        <f>'Beginning Balance Sheet'!$B$12</f>
        <v>900000</v>
      </c>
      <c r="I13" s="3">
        <f>'Beginning Balance Sheet'!$B$12</f>
        <v>900000</v>
      </c>
      <c r="J13" s="3">
        <f>'Beginning Balance Sheet'!$B$12</f>
        <v>900000</v>
      </c>
      <c r="K13" s="3">
        <f>'Beginning Balance Sheet'!$B$12</f>
        <v>900000</v>
      </c>
      <c r="L13" s="3">
        <f>'Beginning Balance Sheet'!$B$12</f>
        <v>900000</v>
      </c>
      <c r="M13" s="3">
        <f>'Beginning Balance Sheet'!$B$12</f>
        <v>900000</v>
      </c>
    </row>
    <row r="14" spans="1:13" ht="16.8" x14ac:dyDescent="0.4">
      <c r="A14" s="15" t="s">
        <v>25</v>
      </c>
      <c r="B14" s="9">
        <f>'Beginning Balance Sheet'!B13-'Budgeting Assumptions'!$B$25</f>
        <v>-300000</v>
      </c>
      <c r="C14" s="9">
        <f>B14-'Budgeting Assumptions'!$B$25</f>
        <v>-308000</v>
      </c>
      <c r="D14" s="9">
        <f>C14-'Budgeting Assumptions'!$B$25</f>
        <v>-316000</v>
      </c>
      <c r="E14" s="9">
        <f>D14-'Budgeting Assumptions'!$B$25</f>
        <v>-324000</v>
      </c>
      <c r="F14" s="9">
        <f>E14-'Budgeting Assumptions'!$B$25</f>
        <v>-332000</v>
      </c>
      <c r="G14" s="9">
        <f>F14-'Budgeting Assumptions'!$B$25</f>
        <v>-340000</v>
      </c>
      <c r="H14" s="9">
        <f>G14-'Budgeting Assumptions'!$B$25</f>
        <v>-348000</v>
      </c>
      <c r="I14" s="9">
        <f>H14-'Budgeting Assumptions'!$B$25</f>
        <v>-356000</v>
      </c>
      <c r="J14" s="9">
        <f>I14-'Budgeting Assumptions'!$B$25</f>
        <v>-364000</v>
      </c>
      <c r="K14" s="9">
        <f>J14-'Budgeting Assumptions'!$B$25</f>
        <v>-372000</v>
      </c>
      <c r="L14" s="9">
        <f>K14-'Budgeting Assumptions'!$B$25</f>
        <v>-380000</v>
      </c>
      <c r="M14" s="9">
        <f>L14-'Budgeting Assumptions'!$B$25</f>
        <v>-388000</v>
      </c>
    </row>
    <row r="15" spans="1:13" ht="16.8" x14ac:dyDescent="0.4">
      <c r="A15" s="16" t="s">
        <v>26</v>
      </c>
      <c r="B15" s="9">
        <f>SUM(B13:B14)</f>
        <v>600000</v>
      </c>
      <c r="C15" s="9">
        <f t="shared" ref="C15:M15" si="1">SUM(C13:C14)</f>
        <v>592000</v>
      </c>
      <c r="D15" s="9">
        <f t="shared" si="1"/>
        <v>584000</v>
      </c>
      <c r="E15" s="9">
        <f t="shared" si="1"/>
        <v>576000</v>
      </c>
      <c r="F15" s="9">
        <f t="shared" si="1"/>
        <v>568000</v>
      </c>
      <c r="G15" s="9">
        <f t="shared" si="1"/>
        <v>560000</v>
      </c>
      <c r="H15" s="9">
        <f t="shared" si="1"/>
        <v>552000</v>
      </c>
      <c r="I15" s="9">
        <f t="shared" si="1"/>
        <v>544000</v>
      </c>
      <c r="J15" s="9">
        <f t="shared" si="1"/>
        <v>536000</v>
      </c>
      <c r="K15" s="9">
        <f t="shared" si="1"/>
        <v>528000</v>
      </c>
      <c r="L15" s="9">
        <f t="shared" si="1"/>
        <v>520000</v>
      </c>
      <c r="M15" s="9">
        <f t="shared" si="1"/>
        <v>512000</v>
      </c>
    </row>
    <row r="16" spans="1:13" ht="16.8" x14ac:dyDescent="0.25">
      <c r="A16" s="16" t="s">
        <v>9</v>
      </c>
      <c r="B16" s="42">
        <f>B11+B15</f>
        <v>738460.625</v>
      </c>
      <c r="C16" s="42">
        <f t="shared" ref="C16:M16" si="2">C11+C15</f>
        <v>705808.125</v>
      </c>
      <c r="D16" s="42">
        <f t="shared" si="2"/>
        <v>699612.5</v>
      </c>
      <c r="E16" s="42">
        <f t="shared" si="2"/>
        <v>702525</v>
      </c>
      <c r="F16" s="42">
        <f t="shared" si="2"/>
        <v>729737.5</v>
      </c>
      <c r="G16" s="42">
        <f t="shared" si="2"/>
        <v>807125</v>
      </c>
      <c r="H16" s="42">
        <f t="shared" si="2"/>
        <v>868506.875</v>
      </c>
      <c r="I16" s="42">
        <f t="shared" si="2"/>
        <v>913247.5</v>
      </c>
      <c r="J16" s="42">
        <f t="shared" si="2"/>
        <v>887526.25</v>
      </c>
      <c r="K16" s="42">
        <f t="shared" si="2"/>
        <v>868696.25</v>
      </c>
      <c r="L16" s="42">
        <f t="shared" si="2"/>
        <v>856083.125</v>
      </c>
      <c r="M16" s="42">
        <f t="shared" si="2"/>
        <v>775746.0625</v>
      </c>
    </row>
    <row r="17" spans="1:13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.6" x14ac:dyDescent="0.3">
      <c r="A18" s="24" t="s">
        <v>10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1" t="s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5" t="s">
        <v>124</v>
      </c>
      <c r="B20" s="6">
        <f>'Merchandise Purchases Budget'!B10*'Budgeting Assumptions'!$B$16</f>
        <v>34010.625</v>
      </c>
      <c r="C20" s="6">
        <f>'Merchandise Purchases Budget'!C10*'Budgeting Assumptions'!$B$16</f>
        <v>32608.125</v>
      </c>
      <c r="D20" s="6">
        <f>'Merchandise Purchases Budget'!D10*'Budgeting Assumptions'!$B$16</f>
        <v>43126.875000000007</v>
      </c>
      <c r="E20" s="6">
        <f>'Merchandise Purchases Budget'!E10*'Budgeting Assumptions'!$B$16</f>
        <v>49438.125</v>
      </c>
      <c r="F20" s="6">
        <f>'Merchandise Purchases Budget'!F10*'Budgeting Assumptions'!$B$16</f>
        <v>70475.625</v>
      </c>
      <c r="G20" s="6">
        <f>'Merchandise Purchases Budget'!G10*'Budgeting Assumptions'!$B$16</f>
        <v>110446.875</v>
      </c>
      <c r="H20" s="6">
        <f>'Merchandise Purchases Budget'!H10*'Budgeting Assumptions'!$B$16</f>
        <v>128328.75</v>
      </c>
      <c r="I20" s="6">
        <f>'Merchandise Purchases Budget'!I10*'Budgeting Assumptions'!$B$16</f>
        <v>123069.375</v>
      </c>
      <c r="J20" s="6">
        <f>'Merchandise Purchases Budget'!J10*'Budgeting Assumptions'!$B$16</f>
        <v>83098.125000000015</v>
      </c>
      <c r="K20" s="6">
        <f>'Merchandise Purchases Budget'!K10*'Budgeting Assumptions'!$B$16</f>
        <v>66268.125</v>
      </c>
      <c r="L20" s="6">
        <f>'Merchandise Purchases Budget'!L10*'Budgeting Assumptions'!$B$16</f>
        <v>58905</v>
      </c>
      <c r="M20" s="6">
        <f>'Merchandise Purchases Budget'!M10*'Budgeting Assumptions'!$B$16</f>
        <v>44996.875</v>
      </c>
    </row>
    <row r="21" spans="1:13" x14ac:dyDescent="0.25">
      <c r="A21" s="15" t="s">
        <v>127</v>
      </c>
      <c r="B21" s="3">
        <f>'Cash Budget'!$B$16</f>
        <v>0</v>
      </c>
      <c r="C21" s="3">
        <f>'Cash Budget'!$B$16+'Cash Budget'!$C$16</f>
        <v>0</v>
      </c>
      <c r="D21" s="3">
        <f>'Cash Budget'!$B$16+'Cash Budget'!$C$16+'Cash Budget'!$D$16</f>
        <v>4785.625</v>
      </c>
      <c r="E21" s="3">
        <f>'Cash Budget'!$B$16+'Cash Budget'!$C$16+'Cash Budget'!$D$16+'Cash Budget'!$E$16</f>
        <v>19636.875</v>
      </c>
      <c r="F21" s="3">
        <f>'Cash Budget'!$B$16+'Cash Budget'!$C$16+'Cash Budget'!$D$16+'Cash Budget'!$E$16+'Cash Budget'!$F$16</f>
        <v>34311.875</v>
      </c>
      <c r="G21" s="3">
        <f>'Cash Budget'!$B$16+'Cash Budget'!$C$16+'Cash Budget'!$D$16+'Cash Budget'!$E$16+'Cash Budget'!$F$16+'Cash Budget'!$G$16</f>
        <v>44478.125</v>
      </c>
      <c r="H21" s="3">
        <f>'Cash Budget'!$B$16+'Cash Budget'!$C$16+'Cash Budget'!$D$16+'Cash Budget'!$E$16+'Cash Budget'!$F$16+'Cash Budget'!$G$16+'Cash Budget'!$H$16</f>
        <v>44478.125</v>
      </c>
      <c r="I21" s="3">
        <f>'Cash Budget'!$B$16+'Cash Budget'!$C$16+'Cash Budget'!$D$16+'Cash Budget'!$E$16+'Cash Budget'!$F$16+'Cash Budget'!$G$16+'Cash Budget'!$H$16+'Cash Budget'!$I$16</f>
        <v>44478.125</v>
      </c>
      <c r="J21" s="3">
        <f>'Cash Budget'!$B$16+'Cash Budget'!$C$16+'Cash Budget'!$D$16+'Cash Budget'!$E$16+'Cash Budget'!$F$16+'Cash Budget'!$G$16+'Cash Budget'!$H$16+'Cash Budget'!$I$16+'Cash Budget'!$J$16</f>
        <v>44478.125</v>
      </c>
      <c r="K21" s="3">
        <f>'Cash Budget'!$B$16+'Cash Budget'!$C$16+'Cash Budget'!$D$16+'Cash Budget'!$E$16+'Cash Budget'!$F$16+'Cash Budget'!$G$16+'Cash Budget'!$H$16+'Cash Budget'!$I$16+'Cash Budget'!$J$16+'Cash Budget'!$K$16</f>
        <v>44478.125</v>
      </c>
      <c r="L21" s="3">
        <f>'Cash Budget'!$B$16+'Cash Budget'!$C$16+'Cash Budget'!$D$16+'Cash Budget'!$E$16+'Cash Budget'!$F$16+'Cash Budget'!$G$16+'Cash Budget'!$H$16+'Cash Budget'!$I$16+'Cash Budget'!$J$16+'Cash Budget'!$K$16+'Cash Budget'!$L$16</f>
        <v>44478.125</v>
      </c>
      <c r="M21" s="3">
        <f>'Cash Budget'!$B$16+'Cash Budget'!$C$16+'Cash Budget'!$D$16+'Cash Budget'!$E$16+'Cash Budget'!$F$16+'Cash Budget'!$G$16+'Cash Budget'!$H$16+'Cash Budget'!$I$16+'Cash Budget'!$J$16+'Cash Budget'!$K$16+'Cash Budget'!$L$16+'Cash Budget'!M17</f>
        <v>0</v>
      </c>
    </row>
    <row r="22" spans="1:13" ht="16.8" x14ac:dyDescent="0.4">
      <c r="A22" s="15" t="s">
        <v>128</v>
      </c>
      <c r="B22" s="9">
        <f>'Budgeted Income Statements'!$B$12</f>
        <v>0</v>
      </c>
      <c r="C22" s="9">
        <f>'Budgeted Income Statements'!$B$12+'Budgeted Income Statements'!$C$12</f>
        <v>0</v>
      </c>
      <c r="D22" s="9">
        <f>'Budgeted Income Statements'!$B$12+'Budgeted Income Statements'!$C$12+'Budgeted Income Statements'!$D$12</f>
        <v>47.856250000000003</v>
      </c>
      <c r="E22" s="9">
        <f>'Budgeted Income Statements'!$B$12+'Budgeted Income Statements'!$C$12+'Budgeted Income Statements'!$D$12+'Budgeted Income Statements'!$E$12</f>
        <v>244.22500000000002</v>
      </c>
      <c r="F22" s="9">
        <f>'Budgeted Income Statements'!$B$12+'Budgeted Income Statements'!$C$12+'Budgeted Income Statements'!$D$12+'Budgeted Income Statements'!$E$12+'Budgeted Income Statements'!$F$12</f>
        <v>587.34375</v>
      </c>
      <c r="G22" s="9">
        <f>'Budgeted Income Statements'!$B$12+'Budgeted Income Statements'!$C$12+'Budgeted Income Statements'!$D$12+'Budgeted Income Statements'!$E$12+'Budgeted Income Statements'!$F$12+'Budgeted Income Statements'!$G$12</f>
        <v>1032.125</v>
      </c>
      <c r="H22" s="9">
        <f>'Budgeted Income Statements'!$B$12+'Budgeted Income Statements'!$C$12+'Budgeted Income Statements'!$D$12+'Budgeted Income Statements'!$E$12+'Budgeted Income Statements'!$F$12+'Budgeted Income Statements'!$G$12+'Budgeted Income Statements'!$H$12</f>
        <v>1476.90625</v>
      </c>
      <c r="I22" s="9">
        <f>'Budgeted Income Statements'!$B$12+'Budgeted Income Statements'!$C$12+'Budgeted Income Statements'!$D$12+'Budgeted Income Statements'!$E$12+'Budgeted Income Statements'!$F$12+'Budgeted Income Statements'!$G$12+'Budgeted Income Statements'!$H$12+'Budgeted Income Statements'!$I$12</f>
        <v>1921.6875</v>
      </c>
      <c r="J22" s="9">
        <f>'Budgeted Income Statements'!$B$12+'Budgeted Income Statements'!$C$12+'Budgeted Income Statements'!$D$12+'Budgeted Income Statements'!$E$12+'Budgeted Income Statements'!$F$12+'Budgeted Income Statements'!$G$12+'Budgeted Income Statements'!$H$12+'Budgeted Income Statements'!$I$12+'Budgeted Income Statements'!$J$12</f>
        <v>2366.46875</v>
      </c>
      <c r="K22" s="9">
        <f>'Budgeted Income Statements'!$B$12+'Budgeted Income Statements'!$C$12+'Budgeted Income Statements'!$D$12+'Budgeted Income Statements'!$E$12+'Budgeted Income Statements'!$F$12+'Budgeted Income Statements'!$G$12+'Budgeted Income Statements'!$H$12+'Budgeted Income Statements'!$I$12+'Budgeted Income Statements'!$J$12+'Budgeted Income Statements'!$K$12</f>
        <v>2811.25</v>
      </c>
      <c r="L22" s="9">
        <f>'Budgeted Income Statements'!$B$12+'Budgeted Income Statements'!$C$12+'Budgeted Income Statements'!$D$12+'Budgeted Income Statements'!$E$12+'Budgeted Income Statements'!$F$12+'Budgeted Income Statements'!$G$12+'Budgeted Income Statements'!$H$12+'Budgeted Income Statements'!$I$12+'Budgeted Income Statements'!$J$12+'Budgeted Income Statements'!$K$12+'Budgeted Income Statements'!$L$12</f>
        <v>3256.03125</v>
      </c>
      <c r="M22" s="9">
        <f>'Budgeted Income Statements'!$B$12+'Budgeted Income Statements'!$C$12+'Budgeted Income Statements'!$D$12+'Budgeted Income Statements'!$E$12+'Budgeted Income Statements'!$F$12+'Budgeted Income Statements'!$G$12+'Budgeted Income Statements'!$H$12+'Budgeted Income Statements'!$I$12+'Budgeted Income Statements'!$J$12+'Budgeted Income Statements'!$K$12+'Budgeted Income Statements'!$L$12+'Budgeted Income Statements'!$M$12+'Cash Budget'!M18</f>
        <v>0</v>
      </c>
    </row>
    <row r="23" spans="1:13" x14ac:dyDescent="0.25">
      <c r="A23" s="15" t="s">
        <v>126</v>
      </c>
      <c r="B23" s="3">
        <f>SUM(B20:B22)</f>
        <v>34010.625</v>
      </c>
      <c r="C23" s="3">
        <f t="shared" ref="C23:M23" si="3">SUM(C20:C22)</f>
        <v>32608.125</v>
      </c>
      <c r="D23" s="3">
        <f t="shared" si="3"/>
        <v>47960.356250000004</v>
      </c>
      <c r="E23" s="3">
        <f t="shared" si="3"/>
        <v>69319.225000000006</v>
      </c>
      <c r="F23" s="3">
        <f t="shared" si="3"/>
        <v>105374.84375</v>
      </c>
      <c r="G23" s="3">
        <f t="shared" si="3"/>
        <v>155957.125</v>
      </c>
      <c r="H23" s="3">
        <f t="shared" si="3"/>
        <v>174283.78125</v>
      </c>
      <c r="I23" s="3">
        <f t="shared" si="3"/>
        <v>169469.1875</v>
      </c>
      <c r="J23" s="3">
        <f t="shared" si="3"/>
        <v>129942.71875000001</v>
      </c>
      <c r="K23" s="3">
        <f t="shared" si="3"/>
        <v>113557.5</v>
      </c>
      <c r="L23" s="3">
        <f t="shared" si="3"/>
        <v>106639.15625</v>
      </c>
      <c r="M23" s="3">
        <f t="shared" si="3"/>
        <v>44996.875</v>
      </c>
    </row>
    <row r="24" spans="1:13" x14ac:dyDescent="0.25">
      <c r="A24" s="1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15" t="s">
        <v>125</v>
      </c>
      <c r="B25" s="3">
        <f>'Beginning Balance Sheet'!$B$21</f>
        <v>253000</v>
      </c>
      <c r="C25" s="3">
        <f>'Beginning Balance Sheet'!$B$21</f>
        <v>253000</v>
      </c>
      <c r="D25" s="3">
        <f>'Beginning Balance Sheet'!$B$21</f>
        <v>253000</v>
      </c>
      <c r="E25" s="3">
        <f>'Beginning Balance Sheet'!$B$21</f>
        <v>253000</v>
      </c>
      <c r="F25" s="3">
        <f>'Beginning Balance Sheet'!$B$21</f>
        <v>253000</v>
      </c>
      <c r="G25" s="3">
        <f>'Beginning Balance Sheet'!$B$21</f>
        <v>253000</v>
      </c>
      <c r="H25" s="3">
        <f>'Beginning Balance Sheet'!$B$21</f>
        <v>253000</v>
      </c>
      <c r="I25" s="3">
        <f>'Beginning Balance Sheet'!$B$21</f>
        <v>253000</v>
      </c>
      <c r="J25" s="3">
        <f>'Beginning Balance Sheet'!$B$21</f>
        <v>253000</v>
      </c>
      <c r="K25" s="3">
        <f>'Beginning Balance Sheet'!$B$21</f>
        <v>253000</v>
      </c>
      <c r="L25" s="3">
        <f>'Beginning Balance Sheet'!$B$21</f>
        <v>253000</v>
      </c>
      <c r="M25" s="3">
        <f>'Beginning Balance Sheet'!$B$21</f>
        <v>253000</v>
      </c>
    </row>
    <row r="26" spans="1:13" ht="16.8" x14ac:dyDescent="0.4">
      <c r="A26" s="15" t="s">
        <v>27</v>
      </c>
      <c r="B26" s="9">
        <f>'Beginning Balance Sheet'!B22+'Budgeted Income Statements'!B13</f>
        <v>451450</v>
      </c>
      <c r="C26" s="9">
        <f>B26+'Budgeted Income Statements'!C13</f>
        <v>420200</v>
      </c>
      <c r="D26" s="9">
        <f>C26+'Budgeted Income Statements'!D13</f>
        <v>398652.14374999999</v>
      </c>
      <c r="E26" s="9">
        <f>D26+'Budgeted Income Statements'!E13</f>
        <v>380205.77499999997</v>
      </c>
      <c r="F26" s="9">
        <f>E26+'Budgeted Income Statements'!F13</f>
        <v>371362.65624999994</v>
      </c>
      <c r="G26" s="9">
        <f>F26+'Budgeted Income Statements'!G13</f>
        <v>398167.87499999994</v>
      </c>
      <c r="H26" s="9">
        <f>G26+'Budgeted Income Statements'!H13</f>
        <v>441223.09374999994</v>
      </c>
      <c r="I26" s="9">
        <f>H26+'Budgeted Income Statements'!I13</f>
        <v>490778.31249999994</v>
      </c>
      <c r="J26" s="9">
        <f>I26+'Budgeted Income Statements'!J13</f>
        <v>504583.53124999994</v>
      </c>
      <c r="K26" s="9">
        <f>J26+'Budgeted Income Statements'!K13</f>
        <v>502138.74999999994</v>
      </c>
      <c r="L26" s="9">
        <f>K26+'Budgeted Income Statements'!L13</f>
        <v>496443.96874999994</v>
      </c>
      <c r="M26" s="9">
        <f>L26+'Budgeted Income Statements'!M13</f>
        <v>477749.18749999994</v>
      </c>
    </row>
    <row r="27" spans="1:13" ht="16.8" x14ac:dyDescent="0.4">
      <c r="A27" s="16" t="s">
        <v>28</v>
      </c>
      <c r="B27" s="13">
        <f>SUM(B25:B26)</f>
        <v>704450</v>
      </c>
      <c r="C27" s="13">
        <f t="shared" ref="C27:M27" si="4">SUM(C25:C26)</f>
        <v>673200</v>
      </c>
      <c r="D27" s="13">
        <f t="shared" si="4"/>
        <v>651652.14375000005</v>
      </c>
      <c r="E27" s="13">
        <f t="shared" si="4"/>
        <v>633205.77499999991</v>
      </c>
      <c r="F27" s="13">
        <f t="shared" si="4"/>
        <v>624362.65625</v>
      </c>
      <c r="G27" s="13">
        <f t="shared" si="4"/>
        <v>651167.875</v>
      </c>
      <c r="H27" s="13">
        <f t="shared" si="4"/>
        <v>694223.09375</v>
      </c>
      <c r="I27" s="13">
        <f t="shared" si="4"/>
        <v>743778.3125</v>
      </c>
      <c r="J27" s="13">
        <f t="shared" si="4"/>
        <v>757583.53125</v>
      </c>
      <c r="K27" s="13">
        <f t="shared" si="4"/>
        <v>755138.75</v>
      </c>
      <c r="L27" s="13">
        <f t="shared" si="4"/>
        <v>749443.96875</v>
      </c>
      <c r="M27" s="13">
        <f t="shared" si="4"/>
        <v>730749.1875</v>
      </c>
    </row>
    <row r="28" spans="1:13" ht="16.8" x14ac:dyDescent="0.25">
      <c r="A28" s="1" t="s">
        <v>13</v>
      </c>
      <c r="B28" s="42">
        <f>B23+B27</f>
        <v>738460.625</v>
      </c>
      <c r="C28" s="42">
        <f t="shared" ref="C28:M28" si="5">C23+C27</f>
        <v>705808.125</v>
      </c>
      <c r="D28" s="42">
        <f t="shared" si="5"/>
        <v>699612.5</v>
      </c>
      <c r="E28" s="42">
        <f t="shared" si="5"/>
        <v>702524.99999999988</v>
      </c>
      <c r="F28" s="42">
        <f t="shared" si="5"/>
        <v>729737.5</v>
      </c>
      <c r="G28" s="42">
        <f t="shared" si="5"/>
        <v>807125</v>
      </c>
      <c r="H28" s="42">
        <f t="shared" si="5"/>
        <v>868506.875</v>
      </c>
      <c r="I28" s="42">
        <f t="shared" si="5"/>
        <v>913247.5</v>
      </c>
      <c r="J28" s="42">
        <f t="shared" si="5"/>
        <v>887526.25</v>
      </c>
      <c r="K28" s="42">
        <f t="shared" si="5"/>
        <v>868696.25</v>
      </c>
      <c r="L28" s="42">
        <f t="shared" si="5"/>
        <v>856083.125</v>
      </c>
      <c r="M28" s="42">
        <f t="shared" si="5"/>
        <v>775746.0625</v>
      </c>
    </row>
    <row r="31" spans="1:13" x14ac:dyDescent="0.25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</sheetData>
  <mergeCells count="3">
    <mergeCell ref="A1:M1"/>
    <mergeCell ref="A2:M2"/>
    <mergeCell ref="A3:M3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FDF989BE7FA42A8531A2483A498B5" ma:contentTypeVersion="15" ma:contentTypeDescription="Create a new document." ma:contentTypeScope="" ma:versionID="f7c5ec8c3d3868deaf519248bf783bfe">
  <xsd:schema xmlns:xsd="http://www.w3.org/2001/XMLSchema" xmlns:xs="http://www.w3.org/2001/XMLSchema" xmlns:p="http://schemas.microsoft.com/office/2006/metadata/properties" xmlns:ns2="60edea94-17e0-49b5-815a-95031838ec3a" xmlns:ns3="a74f5152-7f6a-4bd4-b869-6771941dbf7f" targetNamespace="http://schemas.microsoft.com/office/2006/metadata/properties" ma:root="true" ma:fieldsID="e12346a7f9771cd4ab8f51b347f39569" ns2:_="" ns3:_="">
    <xsd:import namespace="60edea94-17e0-49b5-815a-95031838ec3a"/>
    <xsd:import namespace="a74f5152-7f6a-4bd4-b869-6771941dbf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ea94-17e0-49b5-815a-95031838ec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febd05-8df2-4d9c-9416-8735ea88008b}" ma:internalName="TaxCatchAll" ma:showField="CatchAllData" ma:web="60edea94-17e0-49b5-815a-95031838e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f5152-7f6a-4bd4-b869-6771941db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ea94-17e0-49b5-815a-95031838ec3a" xsi:nil="true"/>
    <lcf76f155ced4ddcb4097134ff3c332f xmlns="a74f5152-7f6a-4bd4-b869-6771941db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EC6ED5-1649-467D-B29E-649E0FF85F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B4A65-2DA0-4B70-9E9B-4B790CA06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dea94-17e0-49b5-815a-95031838ec3a"/>
    <ds:schemaRef ds:uri="a74f5152-7f6a-4bd4-b869-6771941db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0A9F3-A331-48C0-9CC7-7A86A4EEA7BF}">
  <ds:schemaRefs>
    <ds:schemaRef ds:uri="http://schemas.microsoft.com/office/2006/metadata/properties"/>
    <ds:schemaRef ds:uri="http://schemas.microsoft.com/office/infopath/2007/PartnerControls"/>
    <ds:schemaRef ds:uri="60edea94-17e0-49b5-815a-95031838ec3a"/>
    <ds:schemaRef ds:uri="a74f5152-7f6a-4bd4-b869-6771941db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Budget Launch Page</vt:lpstr>
      <vt:lpstr>Beginning Balance Sheet</vt:lpstr>
      <vt:lpstr>Budgeting Assumptions</vt:lpstr>
      <vt:lpstr>Sales Budget</vt:lpstr>
      <vt:lpstr>Merchandise Purchases Budget</vt:lpstr>
      <vt:lpstr>Selling &amp; Admin Budget</vt:lpstr>
      <vt:lpstr>Cash Budget</vt:lpstr>
      <vt:lpstr>Budgeted Income Statements</vt:lpstr>
      <vt:lpstr>Budgeted Balance Sheets</vt:lpstr>
      <vt:lpstr>Cash Flow vs. Net Income</vt:lpstr>
      <vt:lpstr>Charts Tutorial</vt:lpstr>
    </vt:vector>
  </TitlesOfParts>
  <Company>INSEAD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Joos</dc:creator>
  <cp:lastModifiedBy>Julie M. Hampton</cp:lastModifiedBy>
  <cp:lastPrinted>2016-03-17T14:59:58Z</cp:lastPrinted>
  <dcterms:created xsi:type="dcterms:W3CDTF">1999-11-08T15:03:08Z</dcterms:created>
  <dcterms:modified xsi:type="dcterms:W3CDTF">2023-02-01T01:29:09Z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0x01010051BFDF989BE7FA42A8531A2483A498B5</vt:lpwstr>
  </property>
</Properties>
</file>